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440" windowHeight="9345"/>
  </bookViews>
  <sheets>
    <sheet name="HOW TO USE THIS SPREADSHEET" sheetId="18" r:id="rId1"/>
    <sheet name="SUMMARY Financial Analysis  " sheetId="15" r:id="rId2"/>
    <sheet name="cash savings summary" sheetId="6" r:id="rId3"/>
    <sheet name="Income generation summary" sheetId="17" r:id="rId4"/>
    <sheet name="non cash savings summary" sheetId="9" r:id="rId5"/>
    <sheet name="Capital costs " sheetId="12" r:id="rId6"/>
    <sheet name="Implementation costs" sheetId="16" r:id="rId7"/>
    <sheet name="Revenue costs" sheetId="11" r:id="rId8"/>
    <sheet name="No of users - Predicted" sheetId="13" r:id="rId9"/>
    <sheet name="Outpatient Activity" sheetId="14" r:id="rId10"/>
  </sheets>
  <definedNames>
    <definedName name="_xlnm.Print_Area" localSheetId="5">'Capital costs '!$A$2:$G$16</definedName>
    <definedName name="_xlnm.Print_Area" localSheetId="2">'cash savings summary'!$A$3:$H$12</definedName>
    <definedName name="_xlnm.Print_Area" localSheetId="6">'Implementation costs'!$A$2:$C$13</definedName>
    <definedName name="_xlnm.Print_Area" localSheetId="3">'Income generation summary'!$A$3:$H$6</definedName>
    <definedName name="_xlnm.Print_Area" localSheetId="8">'No of users - Predicted'!$A$2:$G$11</definedName>
    <definedName name="_xlnm.Print_Area" localSheetId="4">'non cash savings summary'!$A$3:$I$9</definedName>
    <definedName name="_xlnm.Print_Area" localSheetId="9">'Outpatient Activity'!$A$2:$D$12</definedName>
    <definedName name="_xlnm.Print_Area" localSheetId="7">'Revenue costs'!$A$2:$M$3</definedName>
    <definedName name="_xlnm.Print_Area" localSheetId="1">'SUMMARY Financial Analysis  '!$A$2:$I$35</definedName>
  </definedNames>
  <calcPr calcId="152511"/>
</workbook>
</file>

<file path=xl/calcChain.xml><?xml version="1.0" encoding="utf-8"?>
<calcChain xmlns="http://schemas.openxmlformats.org/spreadsheetml/2006/main">
  <c r="O11" i="11" l="1"/>
  <c r="I13" i="15" s="1"/>
  <c r="M11" i="11"/>
  <c r="K11" i="11"/>
  <c r="I11" i="11"/>
  <c r="G11" i="11"/>
  <c r="H13" i="15"/>
  <c r="G13" i="15"/>
  <c r="F13" i="15"/>
  <c r="E13" i="15"/>
  <c r="D13" i="15"/>
  <c r="N11" i="11"/>
  <c r="O8" i="11"/>
  <c r="M8" i="11"/>
  <c r="L11" i="11"/>
  <c r="K8" i="11"/>
  <c r="J11" i="11"/>
  <c r="H11" i="11"/>
  <c r="I8" i="11"/>
  <c r="G8" i="11"/>
  <c r="F11" i="11"/>
  <c r="E11" i="11"/>
  <c r="D11" i="11"/>
  <c r="G11" i="13"/>
  <c r="F11" i="13"/>
  <c r="E11" i="13"/>
  <c r="D11" i="13"/>
  <c r="C11" i="13"/>
  <c r="G8" i="13"/>
  <c r="F8" i="13"/>
  <c r="E8" i="13"/>
  <c r="D8" i="13"/>
  <c r="C8" i="13"/>
  <c r="B8" i="13"/>
  <c r="G4" i="13"/>
  <c r="F4" i="13"/>
  <c r="E4" i="13"/>
  <c r="D4" i="13"/>
  <c r="C4" i="13"/>
  <c r="B4" i="13"/>
  <c r="C12" i="14"/>
  <c r="B12" i="14"/>
  <c r="I7" i="11"/>
  <c r="M7" i="11" s="1"/>
  <c r="G7" i="11"/>
  <c r="K7" i="11" s="1"/>
  <c r="O7" i="11" s="1"/>
  <c r="I6" i="11"/>
  <c r="M6" i="11" s="1"/>
  <c r="G6" i="11"/>
  <c r="K6" i="11" s="1"/>
  <c r="O6" i="11" s="1"/>
  <c r="I5" i="11"/>
  <c r="M5" i="11" s="1"/>
  <c r="G5" i="11"/>
  <c r="K5" i="11" s="1"/>
  <c r="O5" i="11" s="1"/>
  <c r="B11" i="13" l="1"/>
  <c r="B11" i="16" l="1"/>
  <c r="B13" i="16" s="1"/>
  <c r="H8" i="9" l="1"/>
  <c r="G8" i="9"/>
  <c r="F8" i="9"/>
  <c r="E8" i="9"/>
  <c r="D8" i="9"/>
  <c r="C8" i="9"/>
  <c r="H7" i="9"/>
  <c r="G7" i="9"/>
  <c r="F7" i="9"/>
  <c r="E7" i="9"/>
  <c r="D7" i="9"/>
  <c r="C7" i="9"/>
  <c r="H5" i="9"/>
  <c r="G5" i="9"/>
  <c r="F5" i="9"/>
  <c r="E5" i="9"/>
  <c r="D5" i="9"/>
  <c r="C5" i="9"/>
  <c r="H4" i="9"/>
  <c r="G4" i="9"/>
  <c r="F4" i="9"/>
  <c r="E4" i="9"/>
  <c r="D4" i="9"/>
  <c r="C4" i="9"/>
  <c r="H5" i="17"/>
  <c r="G5" i="17"/>
  <c r="F5" i="17"/>
  <c r="E5" i="17"/>
  <c r="D5" i="17"/>
  <c r="C5" i="17"/>
  <c r="B5" i="17"/>
  <c r="B22" i="6" l="1"/>
  <c r="B19" i="6"/>
  <c r="D7" i="15" l="1"/>
  <c r="D39" i="15" l="1"/>
  <c r="A18" i="15"/>
  <c r="A13" i="15"/>
  <c r="I8" i="15"/>
  <c r="H8" i="15"/>
  <c r="G8" i="15"/>
  <c r="F8" i="15"/>
  <c r="E8" i="15"/>
  <c r="I4" i="15"/>
  <c r="I5" i="15" s="1"/>
  <c r="I41" i="15" s="1"/>
  <c r="H4" i="15"/>
  <c r="H5" i="15" s="1"/>
  <c r="H41" i="15" s="1"/>
  <c r="G4" i="15"/>
  <c r="G5" i="15" s="1"/>
  <c r="G41" i="15" s="1"/>
  <c r="F4" i="15"/>
  <c r="F5" i="15" s="1"/>
  <c r="F41" i="15" s="1"/>
  <c r="E4" i="15"/>
  <c r="E5" i="15" s="1"/>
  <c r="E41" i="15" s="1"/>
  <c r="H5" i="6" l="1"/>
  <c r="I8" i="9" l="1"/>
  <c r="I5" i="9" l="1"/>
  <c r="I7" i="9"/>
  <c r="H7" i="6" l="1"/>
  <c r="I4" i="9" l="1"/>
  <c r="H6" i="9" l="1"/>
  <c r="H9" i="9" s="1"/>
  <c r="G4" i="17"/>
  <c r="G6" i="17" s="1"/>
  <c r="I27" i="15" s="1"/>
  <c r="E6" i="9"/>
  <c r="D4" i="17"/>
  <c r="D6" i="17" s="1"/>
  <c r="F27" i="15" s="1"/>
  <c r="D6" i="9"/>
  <c r="C4" i="17"/>
  <c r="C6" i="17" s="1"/>
  <c r="E27" i="15" s="1"/>
  <c r="E9" i="6"/>
  <c r="E12" i="6" s="1"/>
  <c r="D9" i="6"/>
  <c r="C9" i="6"/>
  <c r="C12" i="6" s="1"/>
  <c r="D9" i="9"/>
  <c r="G9" i="6"/>
  <c r="G12" i="6" s="1"/>
  <c r="G16" i="12"/>
  <c r="F16" i="12"/>
  <c r="E16" i="12"/>
  <c r="D16" i="12"/>
  <c r="C16" i="12"/>
  <c r="B16" i="12"/>
  <c r="D4" i="15" s="1"/>
  <c r="D5" i="15" s="1"/>
  <c r="F4" i="17" l="1"/>
  <c r="F6" i="17" s="1"/>
  <c r="H27" i="15" s="1"/>
  <c r="G6" i="9"/>
  <c r="G9" i="9" s="1"/>
  <c r="H30" i="15" s="1"/>
  <c r="H31" i="15" s="1"/>
  <c r="E4" i="17"/>
  <c r="E6" i="17" s="1"/>
  <c r="G27" i="15" s="1"/>
  <c r="F6" i="9"/>
  <c r="F9" i="9" s="1"/>
  <c r="G30" i="15" s="1"/>
  <c r="B4" i="17"/>
  <c r="C6" i="9"/>
  <c r="B6" i="17"/>
  <c r="D27" i="15" s="1"/>
  <c r="D41" i="15"/>
  <c r="D42" i="15" s="1"/>
  <c r="E40" i="15"/>
  <c r="F9" i="6"/>
  <c r="F12" i="6" s="1"/>
  <c r="H4" i="17"/>
  <c r="H6" i="17" s="1"/>
  <c r="C9" i="9"/>
  <c r="D30" i="15" s="1"/>
  <c r="D31" i="15" s="1"/>
  <c r="B9" i="6"/>
  <c r="B12" i="6" s="1"/>
  <c r="D18" i="15" s="1"/>
  <c r="D19" i="15" s="1"/>
  <c r="D12" i="6"/>
  <c r="F18" i="15" s="1"/>
  <c r="E9" i="9"/>
  <c r="E30" i="15"/>
  <c r="E31" i="15" s="1"/>
  <c r="I30" i="15"/>
  <c r="I31" i="15" s="1"/>
  <c r="E18" i="15"/>
  <c r="E19" i="15" s="1"/>
  <c r="G18" i="15"/>
  <c r="G19" i="15" s="1"/>
  <c r="I18" i="15"/>
  <c r="G31" i="15" l="1"/>
  <c r="F40" i="15"/>
  <c r="E14" i="15"/>
  <c r="D44" i="15"/>
  <c r="D15" i="15" s="1"/>
  <c r="D16" i="15" s="1"/>
  <c r="E39" i="15"/>
  <c r="I6" i="9"/>
  <c r="H9" i="6"/>
  <c r="H12" i="6" s="1"/>
  <c r="F19" i="15"/>
  <c r="D8" i="15"/>
  <c r="F30" i="15"/>
  <c r="F31" i="15" s="1"/>
  <c r="H18" i="15"/>
  <c r="H19" i="15" s="1"/>
  <c r="I19" i="15"/>
  <c r="D20" i="15" l="1"/>
  <c r="D21" i="15" s="1"/>
  <c r="D23" i="15" s="1"/>
  <c r="E42" i="15"/>
  <c r="F39" i="15" s="1"/>
  <c r="G40" i="15"/>
  <c r="F14" i="15"/>
  <c r="F42" i="15" l="1"/>
  <c r="G39" i="15" s="1"/>
  <c r="H40" i="15"/>
  <c r="G14" i="15"/>
  <c r="E44" i="15"/>
  <c r="E15" i="15" s="1"/>
  <c r="E16" i="15" s="1"/>
  <c r="E20" i="15" s="1"/>
  <c r="E21" i="15" s="1"/>
  <c r="D32" i="15"/>
  <c r="D34" i="15" s="1"/>
  <c r="F44" i="15" l="1"/>
  <c r="F15" i="15" s="1"/>
  <c r="F16" i="15" s="1"/>
  <c r="F20" i="15" s="1"/>
  <c r="F21" i="15" s="1"/>
  <c r="F23" i="15" s="1"/>
  <c r="E23" i="15"/>
  <c r="E32" i="15"/>
  <c r="E34" i="15" s="1"/>
  <c r="G42" i="15"/>
  <c r="H39" i="15" s="1"/>
  <c r="H14" i="15"/>
  <c r="I40" i="15"/>
  <c r="I14" i="15" s="1"/>
  <c r="F32" i="15" l="1"/>
  <c r="F34" i="15" s="1"/>
  <c r="H42" i="15"/>
  <c r="I39" i="15" s="1"/>
  <c r="I42" i="15" s="1"/>
  <c r="I44" i="15" s="1"/>
  <c r="I15" i="15" s="1"/>
  <c r="I16" i="15" s="1"/>
  <c r="I20" i="15" s="1"/>
  <c r="I21" i="15" s="1"/>
  <c r="G44" i="15"/>
  <c r="G15" i="15" s="1"/>
  <c r="G16" i="15" s="1"/>
  <c r="G20" i="15" s="1"/>
  <c r="G21" i="15" s="1"/>
  <c r="I23" i="15" l="1"/>
  <c r="I32" i="15"/>
  <c r="I34" i="15" s="1"/>
  <c r="G23" i="15"/>
  <c r="G32" i="15"/>
  <c r="G34" i="15" s="1"/>
  <c r="H44" i="15"/>
  <c r="H15" i="15" s="1"/>
  <c r="H16" i="15" s="1"/>
  <c r="H20" i="15" s="1"/>
  <c r="H21" i="15" s="1"/>
  <c r="H32" i="15" l="1"/>
  <c r="H34" i="15" s="1"/>
  <c r="D35" i="15" s="1"/>
  <c r="H23" i="15"/>
  <c r="D24" i="15" s="1"/>
</calcChain>
</file>

<file path=xl/sharedStrings.xml><?xml version="1.0" encoding="utf-8"?>
<sst xmlns="http://schemas.openxmlformats.org/spreadsheetml/2006/main" count="258" uniqueCount="175">
  <si>
    <t xml:space="preserve">Revenue costs </t>
  </si>
  <si>
    <t>Capital purchase costs</t>
  </si>
  <si>
    <t>Useful Economic Life</t>
  </si>
  <si>
    <t>Depreciation</t>
  </si>
  <si>
    <t>PDC (@ 3.50%)</t>
  </si>
  <si>
    <t>Total Capital Expenditure</t>
  </si>
  <si>
    <t>Total Implementation costs (revenue)</t>
  </si>
  <si>
    <t>Total Revenue Costs</t>
  </si>
  <si>
    <t>Total Revenue savings</t>
  </si>
  <si>
    <t>Revenue (cash-releasing) savings</t>
  </si>
  <si>
    <t>Non cash releasing savings</t>
  </si>
  <si>
    <t>Net Present Value</t>
  </si>
  <si>
    <t>Total Net Present Value</t>
  </si>
  <si>
    <t>Net Revenue Impact</t>
  </si>
  <si>
    <t>Discount Value</t>
  </si>
  <si>
    <t>Implementation costs</t>
  </si>
  <si>
    <t>NBV opening</t>
  </si>
  <si>
    <t>NBV closing</t>
  </si>
  <si>
    <t>Additions</t>
  </si>
  <si>
    <t>PDC</t>
  </si>
  <si>
    <t>total</t>
  </si>
  <si>
    <t xml:space="preserve">Total </t>
  </si>
  <si>
    <t xml:space="preserve">Estimated financial value of non cash releasing savings </t>
  </si>
  <si>
    <t>Year 0 
2016-2017</t>
  </si>
  <si>
    <t>Year 2 
2018-2019</t>
  </si>
  <si>
    <t>Year 1 
2017-2018</t>
  </si>
  <si>
    <t>Year 3 
2019-2020</t>
  </si>
  <si>
    <t>Year 4 
2020-2021</t>
  </si>
  <si>
    <t>Year 5
2021-2022</t>
  </si>
  <si>
    <t>First</t>
  </si>
  <si>
    <t>FU</t>
  </si>
  <si>
    <t>Women and Newborn</t>
  </si>
  <si>
    <t>Trauma and Orthopaedics</t>
  </si>
  <si>
    <t>Child Health</t>
  </si>
  <si>
    <t>Emergency and Specialist Medicine</t>
  </si>
  <si>
    <t>Surgery</t>
  </si>
  <si>
    <t>Cancer Care</t>
  </si>
  <si>
    <t>Detailed Non cash savings</t>
  </si>
  <si>
    <t>Saving nursing time - cancer services</t>
  </si>
  <si>
    <t xml:space="preserve">Reduction in need for administration support </t>
  </si>
  <si>
    <t xml:space="preserve">% of patients using MMR </t>
  </si>
  <si>
    <t xml:space="preserve">All non cancer services </t>
  </si>
  <si>
    <t xml:space="preserve">IT / Systems savings </t>
  </si>
  <si>
    <t>Clinical service savings</t>
  </si>
  <si>
    <t xml:space="preserve">Reduction in paper and postage costs </t>
  </si>
  <si>
    <t xml:space="preserve">Income generation </t>
  </si>
  <si>
    <t>Bed days saved</t>
  </si>
  <si>
    <t xml:space="preserve">Increase capacity within services  by providing virtual follow up for cancer </t>
  </si>
  <si>
    <t xml:space="preserve">Increased capacity through Physical appointments not taking place - replaced by Virtual services </t>
  </si>
  <si>
    <t>5 year total</t>
  </si>
  <si>
    <t xml:space="preserve"> My Medical Record - Financial analysis </t>
  </si>
  <si>
    <t>Cash releasing savings - My Medical Record</t>
  </si>
  <si>
    <t xml:space="preserve">Any maintenance contract savings relating to IT Systems </t>
  </si>
  <si>
    <t xml:space="preserve">Reduction in fines for readmissions </t>
  </si>
  <si>
    <t xml:space="preserve">Total cash savings </t>
  </si>
  <si>
    <t xml:space="preserve">Cash savings calculations </t>
  </si>
  <si>
    <t>stopping printing documents to send to patients</t>
  </si>
  <si>
    <t>cost of envelope</t>
  </si>
  <si>
    <t>cost of labour to produce letters</t>
  </si>
  <si>
    <t>cost of postage</t>
  </si>
  <si>
    <t xml:space="preserve">cost of toner </t>
  </si>
  <si>
    <t xml:space="preserve">number of letters sent to each patient per appointment </t>
  </si>
  <si>
    <t>cost of paper and label</t>
  </si>
  <si>
    <t xml:space="preserve">clinical trials </t>
  </si>
  <si>
    <t xml:space="preserve">income per clinical trial </t>
  </si>
  <si>
    <t>number of letters processed per hour</t>
  </si>
  <si>
    <t xml:space="preserve">cost of patient document per appointment </t>
  </si>
  <si>
    <t>Income Generation  - My Medical Record</t>
  </si>
  <si>
    <t xml:space="preserve">Number of patients using the system  </t>
  </si>
  <si>
    <t xml:space="preserve">Outpatient activity - based on year ending xx/xx/xx </t>
  </si>
  <si>
    <t xml:space="preserve">First </t>
  </si>
  <si>
    <t>Follow up</t>
  </si>
  <si>
    <t>the numbers included in this table are examples on  - you need to insert your own activity information in the yellow boxes</t>
  </si>
  <si>
    <t xml:space="preserve">1. this financial analysis spreadsheet should be used in conjunction with My Medical Record Template business case </t>
  </si>
  <si>
    <t>2. Do not edit the Summary financial analysis worksheet - this contains calculations based on the other worksheets - edit those other worksheets to change the values in this worksheet</t>
  </si>
  <si>
    <t xml:space="preserve">Do not edit this sheet </t>
  </si>
  <si>
    <t xml:space="preserve">3. we have included some example numbers in the green boxes to show how the calculations work - edit these to make them applicable for your trust </t>
  </si>
  <si>
    <t xml:space="preserve">4. Cells highlighted in pale blue contain formulas - do not edit these cells </t>
  </si>
  <si>
    <t>Total income generation and non cash releasing savings</t>
  </si>
  <si>
    <t>Net cash flow incl income generation and non cash releasing savings</t>
  </si>
  <si>
    <t>5. Any questions please contact kevin.hamer@uhs.nhs.uk</t>
  </si>
  <si>
    <t xml:space="preserve">edit only the cells in Green </t>
  </si>
  <si>
    <t xml:space="preserve">TOTAL NUMBER OF MY MEDICAL RECORD USERS </t>
  </si>
  <si>
    <t xml:space="preserve">in this table you are predicting the users and growth of the use of MyMedical Record </t>
  </si>
  <si>
    <t>this worksheet uses the activity numbers you entered in the worksheet "Outpatient figures" in order to calculate the estimated number of users</t>
  </si>
  <si>
    <t>Non pay revenue costs are based on UHS charges and the licence numbers based on what you have predicted as activity</t>
  </si>
  <si>
    <t xml:space="preserve">Your project manager </t>
  </si>
  <si>
    <t xml:space="preserve">Your service improvement resources </t>
  </si>
  <si>
    <t>as required</t>
  </si>
  <si>
    <t xml:space="preserve">One off costs to implement MyMedical Record </t>
  </si>
  <si>
    <t>hourly rate for band 2 in patient admin services</t>
  </si>
  <si>
    <t xml:space="preserve">Estimated financial value of income generation </t>
  </si>
  <si>
    <t xml:space="preserve">Total Net Present Value including estimated savings </t>
  </si>
  <si>
    <t xml:space="preserve">About cash savings - these are savings where money will actually be saved from budgets </t>
  </si>
  <si>
    <t xml:space="preserve">Income generation savings - income that could be increased through the implementation of my medical record </t>
  </si>
  <si>
    <t>recording phone calls / missed activity</t>
  </si>
  <si>
    <t>tariff per call (the rate is different for a doctor and a specialist nurse but an average has been used)</t>
  </si>
  <si>
    <t>this is an estimate</t>
  </si>
  <si>
    <t>Income from clinical trials - this is calculated based on number of patients registered</t>
  </si>
  <si>
    <r>
      <t xml:space="preserve">Estimated number of missed contacts </t>
    </r>
    <r>
      <rPr>
        <b/>
        <sz val="11"/>
        <color theme="1"/>
        <rFont val="Calibri"/>
        <family val="2"/>
        <scheme val="minor"/>
      </rPr>
      <t>per day</t>
    </r>
    <r>
      <rPr>
        <sz val="11"/>
        <color theme="1"/>
        <rFont val="Calibri"/>
        <family val="2"/>
        <scheme val="minor"/>
      </rPr>
      <t xml:space="preserve"> that the Trust will now be paid for </t>
    </r>
  </si>
  <si>
    <t>this depends on local commissioning arrangements</t>
  </si>
  <si>
    <t>depends on your local commissioning arrangements and reasons for readmissions</t>
  </si>
  <si>
    <t>Non cash savings   - My Medical Record</t>
  </si>
  <si>
    <t xml:space="preserve">saving nursing time in cancer services </t>
  </si>
  <si>
    <t xml:space="preserve">number of cancer specialties </t>
  </si>
  <si>
    <t xml:space="preserve">unit cost of hour </t>
  </si>
  <si>
    <t>number of hours saved per day per cancer specialty</t>
  </si>
  <si>
    <t xml:space="preserve">An experienced Cancer Nurse specialist can review 20+ patients via the IT in an hour whilst a traditional Outpatient clinic would see on average about 6 patients per hour. We have assumed follow up reviews can be done through MMR with a band 7 nurse. 12 cancer specialties. Assume physical follow ups are reduced and time is saved (to be re-used in providing care in other ways) </t>
  </si>
  <si>
    <t xml:space="preserve">internal cost to the trust of an outpatient appointment </t>
  </si>
  <si>
    <t xml:space="preserve">% of appointments not conducted as a physical appointment </t>
  </si>
  <si>
    <t xml:space="preserve">Cost of admin support (band 2) - 1 WTE </t>
  </si>
  <si>
    <t>estimated reduction in support needed - WTE</t>
  </si>
  <si>
    <t>Reducing the internal cost for the Trust of a physical outpatient appointment - Estimated cost is made up of admin to book appointment, car parking maintenance, space in clinic, support services time, clinical support i.e. reception and nurses, consultants time.  Estimated saving is based on % number of appointments not held physically based on number of users of MyMR (so we have not assumed that all patients will not have a physical outpatient appointment )</t>
  </si>
  <si>
    <t xml:space="preserve">number of non elective bed days less than one day </t>
  </si>
  <si>
    <t xml:space="preserve">estimated number of admissions that could be saved </t>
  </si>
  <si>
    <t>cost of a non elective bed day to the Trust</t>
  </si>
  <si>
    <t xml:space="preserve">Estimated saving in bed days where non elective bed day is &lt; 1 day. If we can prevent a small % of these admissions through use of MyMR to better manage and support patients with LTC then savings could be made.  The calculation of savings is based on estimated number of admissions that could be prevented. </t>
  </si>
  <si>
    <t xml:space="preserve">6. Suggested order for filling in this spreadsheet is to start at the back (last worksheet) and work forwards. This is because the last worksheet is your activity data and the second last is your expected utilisation. Many of the calculations are based on this information. </t>
  </si>
  <si>
    <t>Net Cash Flow (includes depreciation)</t>
  </si>
  <si>
    <t xml:space="preserve">Public Dividend Capital </t>
  </si>
  <si>
    <t>A form of long-term government finance which was initially provided to NHS trusts when they were first formed to enable them to purchase the Trust’s assets from the Secretary of State. Public dividend capital (PDC) represents the Department of Health’s (DH’s) equity interest in defined public assets across the NHS.</t>
  </si>
  <si>
    <t>The DH is required to make a return on its net assets, including the assets of NHS trusts, of 3.5%. For NHS trusts, that takes the form of a variable charge—a PDC dividend—paid twice yearly. Repayments of PDC are made only when the trust has surplus cash—e.g., land sales proceeds not spent on new capital assets. The PDC of an NHS trust applicant for NHS foundation trust status, immediately before authorisation is granted, will continue as PDC under the same conditions for the NHS foundation trust.</t>
  </si>
  <si>
    <t>How much does the project cost (including  the savings) ?</t>
  </si>
  <si>
    <t>7. Any text highlighted in yellow is for information only</t>
  </si>
  <si>
    <t xml:space="preserve">Start up costs </t>
  </si>
  <si>
    <t xml:space="preserve">stop printing documents to send to patients - Cost of producing and printing document and sending. Assumes each patient using MMR signs up to paper free communications and they receive one letter per appointment </t>
  </si>
  <si>
    <t>do not edit these cells as they are calculated from cells below (which you should edit)</t>
  </si>
  <si>
    <t>edit the cells in green to make changes to the summary table</t>
  </si>
  <si>
    <t xml:space="preserve">One off costs from UHS </t>
  </si>
  <si>
    <t>£100 is the average but what is the right value for your trust</t>
  </si>
  <si>
    <t xml:space="preserve">start up costs - 1st year support and 250 patients </t>
  </si>
  <si>
    <t>additional cost per tumour site</t>
  </si>
  <si>
    <t>number of additional tumour sites</t>
  </si>
  <si>
    <t>cost per additional tumour sites</t>
  </si>
  <si>
    <t>Capital Costs  - My Medical Record</t>
  </si>
  <si>
    <t>Implementation costs  - My Medical Record</t>
  </si>
  <si>
    <t xml:space="preserve">additional costs per tumour site </t>
  </si>
  <si>
    <t>Module</t>
  </si>
  <si>
    <t>Module type</t>
  </si>
  <si>
    <t>No of patients</t>
  </si>
  <si>
    <t>UHS Support</t>
  </si>
  <si>
    <t>UHS support</t>
  </si>
  <si>
    <t xml:space="preserve">name of your trust </t>
  </si>
  <si>
    <t>Breast</t>
  </si>
  <si>
    <t>Primary</t>
  </si>
  <si>
    <t>Prostate</t>
  </si>
  <si>
    <t>Secondary</t>
  </si>
  <si>
    <t>Colorectal</t>
  </si>
  <si>
    <t xml:space="preserve">Year 0 costs are part of the implementation costs </t>
  </si>
  <si>
    <t xml:space="preserve">TOTAL </t>
  </si>
  <si>
    <t>Growth assumptions -  Cancer</t>
  </si>
  <si>
    <t>Growth assumptions - Non Cancer</t>
  </si>
  <si>
    <t xml:space="preserve">OTHER </t>
  </si>
  <si>
    <t>Revenue (running) costs - My Medical Record</t>
  </si>
  <si>
    <t>Hardware if required</t>
  </si>
  <si>
    <t xml:space="preserve">Values shown in red are savings </t>
  </si>
  <si>
    <t xml:space="preserve">The information in this worksheet is used to calculate the value of some of the savings </t>
  </si>
  <si>
    <t xml:space="preserve">any other costs </t>
  </si>
  <si>
    <t xml:space="preserve">optional costs </t>
  </si>
  <si>
    <t xml:space="preserve">support worker - undertake patient training and registration activities </t>
  </si>
  <si>
    <t>Your Trust implementation costs</t>
  </si>
  <si>
    <t>&lt;&lt;&lt;&lt;&lt;&lt;&lt;&lt;</t>
  </si>
  <si>
    <t>&lt;&lt;&lt;&lt;&lt;&lt;&lt;</t>
  </si>
  <si>
    <t>overall cost of the project</t>
  </si>
  <si>
    <t>overall cost of project if non cash savings and income generation are included. A number in red indicates a ROI</t>
  </si>
  <si>
    <t xml:space="preserve">How to use this financial analysis spreadsheet </t>
  </si>
  <si>
    <t xml:space="preserve">Clinical staff recording phone calls for services provided and not currently paid for - estimate would need to be based on presumed tariff for this.    (Example rate - £18 for nurse and £49 for doctor) </t>
  </si>
  <si>
    <t xml:space="preserve">% number of patient using My Medical Record who will sign up for a trial </t>
  </si>
  <si>
    <t xml:space="preserve">savings from My Medical record that can be quantified financially but may not result in actual budget savings </t>
  </si>
  <si>
    <t xml:space="preserve">Saving in nursing time from phone calls v online messaging. Cancer specialist nurses spend a considerable time responding to telephone calls from patients. This saving is based on time that will be spent using the messaging facility in MY Medical Record instead of telephone calls. </t>
  </si>
  <si>
    <t>As  utilisation of the MMR grows the requirement for admin and support in the patient booking services will reduce. These staff will move into the expansion of the MMR Service</t>
  </si>
  <si>
    <t>as required - we would recommend using a healthcare support worker to run the tracker and check the PSAs etc. This frees up band 7 nurses to work on more complete cases. In our experience you will need at least one support worker.</t>
  </si>
  <si>
    <t>Support worker - Band 4/5  with a nursing back ground(e.g. HCSW) -  based on our experience we recommend you have at least one support worker supporting the patients use of My Medical Record</t>
  </si>
  <si>
    <t xml:space="preserve">This worksheet is used to calculate the revenue costs - you need to make sure the estimated number of users matches the numbers in the next worksheet called number of predicted users </t>
  </si>
  <si>
    <t xml:space="preserve">if you are planning non cancer services to use the system then input numbers in this area - other wise set to zero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</si>
</sst>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8" formatCode="&quot;£&quot;#,##0.00;[Red]\-&quot;£&quot;#,##0.00"/>
    <numFmt numFmtId="43" formatCode="_-* #,##0.00_-;\-* #,##0.00_-;_-* &quot;-&quot;??_-;_-@_-"/>
    <numFmt numFmtId="164" formatCode="#,##0;\(#,##0\)"/>
    <numFmt numFmtId="165" formatCode="&quot;£&quot;#,##0.00;[Red]\(&quot;£&quot;#,##0.00\)"/>
    <numFmt numFmtId="166" formatCode="0.0000"/>
    <numFmt numFmtId="167" formatCode="&quot;£&quot;#,##0.00;[Red]&quot;£&quot;#,##0.00"/>
    <numFmt numFmtId="168" formatCode="_-* #,##0_-;\-* #,##0_-;_-* &quot;-&quot;??_-;_-@_-"/>
    <numFmt numFmtId="169" formatCode="&quot;£&quot;#,##0;[Red]\(&quot;£&quot;#,##0\)"/>
    <numFmt numFmtId="170" formatCode="&quot;£&quot;#,##0.00"/>
  </numFmts>
  <fonts count="29" x14ac:knownFonts="1">
    <font>
      <sz val="11"/>
      <color theme="1"/>
      <name val="Calibri"/>
      <family val="2"/>
      <scheme val="minor"/>
    </font>
    <font>
      <sz val="11"/>
      <color theme="1"/>
      <name val="Calibri"/>
      <family val="2"/>
      <scheme val="minor"/>
    </font>
    <font>
      <b/>
      <sz val="10"/>
      <color theme="1"/>
      <name val="Calibri"/>
      <family val="2"/>
      <scheme val="minor"/>
    </font>
    <font>
      <b/>
      <sz val="10"/>
      <color rgb="FF000000"/>
      <name val="Calibri"/>
      <family val="2"/>
      <scheme val="minor"/>
    </font>
    <font>
      <sz val="10"/>
      <color theme="1"/>
      <name val="Calibri"/>
      <family val="2"/>
      <scheme val="minor"/>
    </font>
    <font>
      <sz val="10"/>
      <color rgb="FF000000"/>
      <name val="Calibri"/>
      <family val="2"/>
      <scheme val="minor"/>
    </font>
    <font>
      <sz val="10"/>
      <name val="MS Sans Serif"/>
      <family val="2"/>
    </font>
    <font>
      <sz val="11"/>
      <color indexed="8"/>
      <name val="Calibri"/>
      <family val="2"/>
    </font>
    <font>
      <sz val="10"/>
      <name val="Arial"/>
      <family val="2"/>
    </font>
    <font>
      <b/>
      <sz val="11"/>
      <color theme="1"/>
      <name val="Calibri"/>
      <family val="2"/>
      <scheme val="minor"/>
    </font>
    <font>
      <b/>
      <sz val="11"/>
      <color theme="0"/>
      <name val="Calibri"/>
      <family val="2"/>
      <scheme val="minor"/>
    </font>
    <font>
      <sz val="11"/>
      <color theme="0"/>
      <name val="Calibri"/>
      <family val="2"/>
      <scheme val="minor"/>
    </font>
    <font>
      <b/>
      <sz val="18"/>
      <color theme="0"/>
      <name val="Calibri"/>
      <family val="2"/>
      <scheme val="minor"/>
    </font>
    <font>
      <b/>
      <sz val="16"/>
      <color theme="0"/>
      <name val="Calibri"/>
      <family val="2"/>
      <scheme val="minor"/>
    </font>
    <font>
      <b/>
      <sz val="14"/>
      <color theme="0"/>
      <name val="Calibri"/>
      <family val="2"/>
      <scheme val="minor"/>
    </font>
    <font>
      <sz val="11"/>
      <color rgb="FFFF0000"/>
      <name val="Calibri"/>
      <family val="2"/>
      <scheme val="minor"/>
    </font>
    <font>
      <b/>
      <sz val="11"/>
      <color rgb="FFFF0000"/>
      <name val="Calibri"/>
      <family val="2"/>
      <scheme val="minor"/>
    </font>
    <font>
      <b/>
      <sz val="11"/>
      <name val="Calibri"/>
      <family val="2"/>
      <scheme val="minor"/>
    </font>
    <font>
      <sz val="11"/>
      <name val="Calibri"/>
      <family val="2"/>
      <scheme val="minor"/>
    </font>
    <font>
      <b/>
      <sz val="16"/>
      <color rgb="FFFF0000"/>
      <name val="Calibri"/>
      <family val="2"/>
      <scheme val="minor"/>
    </font>
    <font>
      <b/>
      <sz val="14"/>
      <name val="Calibri"/>
      <family val="2"/>
      <scheme val="minor"/>
    </font>
    <font>
      <b/>
      <u/>
      <sz val="11"/>
      <color theme="1"/>
      <name val="Calibri"/>
      <family val="2"/>
      <scheme val="minor"/>
    </font>
    <font>
      <b/>
      <i/>
      <sz val="12"/>
      <name val="Calibri"/>
      <family val="2"/>
      <scheme val="minor"/>
    </font>
    <font>
      <i/>
      <sz val="12"/>
      <name val="Calibri"/>
      <family val="2"/>
      <scheme val="minor"/>
    </font>
    <font>
      <b/>
      <i/>
      <sz val="11"/>
      <name val="Calibri"/>
      <family val="2"/>
      <scheme val="minor"/>
    </font>
    <font>
      <i/>
      <sz val="11"/>
      <name val="Calibri"/>
      <family val="2"/>
      <scheme val="minor"/>
    </font>
    <font>
      <sz val="9"/>
      <color theme="1"/>
      <name val="Calibri"/>
      <family val="2"/>
      <scheme val="minor"/>
    </font>
    <font>
      <sz val="9"/>
      <color rgb="FF404040"/>
      <name val="Arial"/>
      <family val="2"/>
    </font>
    <font>
      <i/>
      <sz val="11"/>
      <color theme="1"/>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rgb="FFFFC00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F0"/>
        <bgColor indexed="64"/>
      </patternFill>
    </fill>
    <fill>
      <patternFill patternType="solid">
        <fgColor theme="4"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808080"/>
      </left>
      <right style="medium">
        <color rgb="FF808080"/>
      </right>
      <top style="medium">
        <color rgb="FF808080"/>
      </top>
      <bottom style="medium">
        <color rgb="FF808080"/>
      </bottom>
      <diagonal/>
    </border>
    <border>
      <left style="medium">
        <color rgb="FF808080"/>
      </left>
      <right style="medium">
        <color rgb="FF808080"/>
      </right>
      <top/>
      <bottom style="medium">
        <color rgb="FF808080"/>
      </bottom>
      <diagonal/>
    </border>
    <border>
      <left style="thin">
        <color indexed="64"/>
      </left>
      <right style="thin">
        <color indexed="64"/>
      </right>
      <top/>
      <bottom/>
      <diagonal/>
    </border>
    <border>
      <left style="medium">
        <color rgb="FF808080"/>
      </left>
      <right style="medium">
        <color rgb="FF808080"/>
      </right>
      <top/>
      <bottom/>
      <diagonal/>
    </border>
  </borders>
  <cellStyleXfs count="6">
    <xf numFmtId="0" fontId="0" fillId="0" borderId="0"/>
    <xf numFmtId="43" fontId="1"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0" fontId="8" fillId="0" borderId="0"/>
    <xf numFmtId="9" fontId="6" fillId="0" borderId="0" applyFont="0" applyFill="0" applyBorder="0" applyAlignment="0" applyProtection="0"/>
  </cellStyleXfs>
  <cellXfs count="226">
    <xf numFmtId="0" fontId="0" fillId="0" borderId="0" xfId="0"/>
    <xf numFmtId="164" fontId="5" fillId="0" borderId="1" xfId="1" applyNumberFormat="1" applyFont="1" applyBorder="1" applyAlignment="1">
      <alignment vertical="top" wrapText="1"/>
    </xf>
    <xf numFmtId="164" fontId="5" fillId="0" borderId="1" xfId="1" applyNumberFormat="1" applyFont="1" applyBorder="1" applyAlignment="1">
      <alignment horizontal="center" vertical="center" wrapText="1"/>
    </xf>
    <xf numFmtId="0" fontId="2" fillId="3" borderId="1" xfId="0" applyFont="1" applyFill="1" applyBorder="1" applyAlignment="1">
      <alignment vertical="top" wrapText="1"/>
    </xf>
    <xf numFmtId="164" fontId="3" fillId="3" borderId="1" xfId="1" applyNumberFormat="1" applyFont="1" applyFill="1" applyBorder="1" applyAlignment="1">
      <alignment vertical="top"/>
    </xf>
    <xf numFmtId="0" fontId="2" fillId="0" borderId="0" xfId="0" applyFont="1" applyFill="1" applyBorder="1" applyAlignment="1">
      <alignment horizontal="left" vertical="top" wrapText="1"/>
    </xf>
    <xf numFmtId="165" fontId="3" fillId="0" borderId="0" xfId="1" applyNumberFormat="1" applyFont="1" applyFill="1" applyBorder="1" applyAlignment="1">
      <alignment vertical="top" wrapText="1"/>
    </xf>
    <xf numFmtId="0" fontId="0" fillId="0" borderId="0" xfId="0"/>
    <xf numFmtId="0" fontId="4" fillId="0" borderId="1" xfId="0" applyFont="1" applyBorder="1" applyAlignment="1">
      <alignmen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0" fillId="2" borderId="0" xfId="0" applyFill="1"/>
    <xf numFmtId="0" fontId="0" fillId="0" borderId="0" xfId="0" applyFill="1"/>
    <xf numFmtId="0" fontId="4"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167" fontId="0" fillId="0" borderId="0" xfId="0" applyNumberFormat="1"/>
    <xf numFmtId="165" fontId="5" fillId="2" borderId="1" xfId="1" applyNumberFormat="1" applyFont="1" applyFill="1" applyBorder="1" applyAlignment="1">
      <alignment vertical="center"/>
    </xf>
    <xf numFmtId="166" fontId="5" fillId="2" borderId="1" xfId="1" applyNumberFormat="1" applyFont="1" applyFill="1" applyBorder="1" applyAlignment="1">
      <alignment vertical="center" wrapText="1"/>
    </xf>
    <xf numFmtId="169" fontId="5" fillId="2" borderId="12" xfId="1" applyNumberFormat="1" applyFont="1" applyFill="1" applyBorder="1" applyAlignment="1">
      <alignment vertical="center" wrapText="1"/>
    </xf>
    <xf numFmtId="169" fontId="5" fillId="2" borderId="1" xfId="1" applyNumberFormat="1" applyFont="1" applyFill="1" applyBorder="1" applyAlignment="1">
      <alignment vertical="center" wrapText="1"/>
    </xf>
    <xf numFmtId="169" fontId="3" fillId="2" borderId="4" xfId="1" applyNumberFormat="1" applyFont="1" applyFill="1" applyBorder="1" applyAlignment="1">
      <alignment vertical="center" wrapText="1"/>
    </xf>
    <xf numFmtId="169" fontId="3" fillId="2" borderId="1" xfId="1" applyNumberFormat="1" applyFont="1" applyFill="1" applyBorder="1" applyAlignment="1">
      <alignment vertical="center" wrapText="1"/>
    </xf>
    <xf numFmtId="169" fontId="3" fillId="2" borderId="8" xfId="1" applyNumberFormat="1" applyFont="1" applyFill="1" applyBorder="1" applyAlignment="1">
      <alignment vertical="center" wrapText="1"/>
    </xf>
    <xf numFmtId="169" fontId="3" fillId="0" borderId="1" xfId="1" applyNumberFormat="1" applyFont="1" applyFill="1" applyBorder="1" applyAlignment="1">
      <alignment vertical="center" wrapText="1"/>
    </xf>
    <xf numFmtId="0" fontId="4" fillId="0" borderId="0" xfId="0" applyFont="1"/>
    <xf numFmtId="0" fontId="0" fillId="0" borderId="10" xfId="0" applyBorder="1"/>
    <xf numFmtId="0" fontId="0" fillId="0" borderId="11" xfId="0" applyBorder="1"/>
    <xf numFmtId="0" fontId="0" fillId="0" borderId="7" xfId="0" applyBorder="1"/>
    <xf numFmtId="0" fontId="0" fillId="0" borderId="1" xfId="0" applyBorder="1" applyAlignment="1">
      <alignment vertical="top" wrapText="1"/>
    </xf>
    <xf numFmtId="0" fontId="0" fillId="0" borderId="1" xfId="0" applyBorder="1"/>
    <xf numFmtId="0" fontId="9" fillId="4" borderId="5" xfId="0" applyFont="1" applyFill="1" applyBorder="1"/>
    <xf numFmtId="170" fontId="0" fillId="4" borderId="6" xfId="0" applyNumberFormat="1" applyFill="1" applyBorder="1" applyAlignment="1">
      <alignment vertical="top"/>
    </xf>
    <xf numFmtId="0" fontId="0" fillId="0" borderId="1" xfId="0" applyBorder="1" applyAlignment="1">
      <alignment wrapText="1"/>
    </xf>
    <xf numFmtId="4" fontId="0" fillId="0" borderId="1" xfId="0" applyNumberFormat="1" applyBorder="1"/>
    <xf numFmtId="0" fontId="9" fillId="0" borderId="1" xfId="0" applyFont="1" applyBorder="1"/>
    <xf numFmtId="170" fontId="0" fillId="0" borderId="1" xfId="0" applyNumberFormat="1" applyBorder="1"/>
    <xf numFmtId="170" fontId="9" fillId="0" borderId="1" xfId="0" applyNumberFormat="1" applyFont="1" applyBorder="1"/>
    <xf numFmtId="0" fontId="0" fillId="0" borderId="0" xfId="0" applyAlignment="1">
      <alignment wrapText="1"/>
    </xf>
    <xf numFmtId="0" fontId="0" fillId="2" borderId="1" xfId="0" applyFill="1" applyBorder="1" applyAlignment="1">
      <alignment vertical="top" wrapText="1"/>
    </xf>
    <xf numFmtId="1" fontId="0" fillId="0" borderId="0" xfId="0" applyNumberFormat="1"/>
    <xf numFmtId="0" fontId="9" fillId="3" borderId="1" xfId="0" applyFont="1" applyFill="1" applyBorder="1"/>
    <xf numFmtId="1" fontId="0" fillId="0" borderId="1" xfId="0" applyNumberFormat="1" applyBorder="1" applyAlignment="1">
      <alignment horizontal="left"/>
    </xf>
    <xf numFmtId="0" fontId="0" fillId="9" borderId="0" xfId="0" applyFill="1" applyAlignment="1">
      <alignment wrapText="1"/>
    </xf>
    <xf numFmtId="0" fontId="0" fillId="2" borderId="0" xfId="0" applyFill="1" applyAlignment="1">
      <alignment wrapText="1"/>
    </xf>
    <xf numFmtId="0" fontId="0" fillId="2" borderId="1" xfId="0" applyFill="1" applyBorder="1" applyAlignment="1">
      <alignment wrapText="1"/>
    </xf>
    <xf numFmtId="0" fontId="0" fillId="0" borderId="1" xfId="0" applyFill="1" applyBorder="1"/>
    <xf numFmtId="0" fontId="12" fillId="10" borderId="9" xfId="0" applyFont="1" applyFill="1" applyBorder="1" applyAlignment="1">
      <alignment vertical="top" wrapText="1"/>
    </xf>
    <xf numFmtId="0" fontId="10" fillId="10" borderId="1" xfId="0" applyFont="1" applyFill="1" applyBorder="1" applyAlignment="1">
      <alignment wrapText="1"/>
    </xf>
    <xf numFmtId="0" fontId="10" fillId="7" borderId="1" xfId="0" applyFont="1" applyFill="1" applyBorder="1" applyAlignment="1">
      <alignment wrapText="1"/>
    </xf>
    <xf numFmtId="0" fontId="10" fillId="7" borderId="1" xfId="0" applyFont="1" applyFill="1" applyBorder="1"/>
    <xf numFmtId="0" fontId="11" fillId="7" borderId="1" xfId="0" applyFont="1" applyFill="1" applyBorder="1" applyAlignment="1">
      <alignment wrapText="1"/>
    </xf>
    <xf numFmtId="0" fontId="10" fillId="7" borderId="0" xfId="0" applyFont="1" applyFill="1"/>
    <xf numFmtId="0" fontId="14" fillId="7" borderId="0" xfId="0" applyFont="1" applyFill="1" applyAlignment="1">
      <alignment vertical="top" wrapText="1"/>
    </xf>
    <xf numFmtId="0" fontId="11" fillId="7" borderId="12" xfId="0" applyFont="1" applyFill="1" applyBorder="1" applyAlignment="1">
      <alignment wrapText="1"/>
    </xf>
    <xf numFmtId="0" fontId="16" fillId="0" borderId="0" xfId="0" applyFont="1"/>
    <xf numFmtId="0" fontId="15" fillId="0" borderId="0" xfId="0" applyFont="1"/>
    <xf numFmtId="0" fontId="16" fillId="2" borderId="0" xfId="0" applyFont="1" applyFill="1" applyAlignment="1">
      <alignment wrapText="1"/>
    </xf>
    <xf numFmtId="0" fontId="10" fillId="5" borderId="0" xfId="0" applyFont="1" applyFill="1" applyAlignment="1">
      <alignment vertical="top"/>
    </xf>
    <xf numFmtId="8" fontId="10" fillId="5" borderId="1" xfId="0" applyNumberFormat="1" applyFont="1" applyFill="1" applyBorder="1" applyAlignment="1">
      <alignment vertical="top"/>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170" fontId="9" fillId="0" borderId="1" xfId="0" applyNumberFormat="1" applyFont="1" applyBorder="1" applyAlignment="1">
      <alignment vertical="top"/>
    </xf>
    <xf numFmtId="0" fontId="2" fillId="4"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8" fontId="10" fillId="5" borderId="2" xfId="0" applyNumberFormat="1" applyFont="1" applyFill="1" applyBorder="1" applyAlignment="1">
      <alignment vertical="top"/>
    </xf>
    <xf numFmtId="0" fontId="9" fillId="5" borderId="1" xfId="0" applyFont="1" applyFill="1" applyBorder="1" applyAlignment="1">
      <alignment vertical="top" wrapText="1"/>
    </xf>
    <xf numFmtId="8" fontId="9" fillId="0" borderId="1" xfId="0" applyNumberFormat="1" applyFont="1" applyBorder="1" applyAlignment="1">
      <alignment vertical="top"/>
    </xf>
    <xf numFmtId="0" fontId="9" fillId="4" borderId="1" xfId="0" applyFont="1" applyFill="1" applyBorder="1" applyAlignment="1">
      <alignment vertical="top" wrapText="1"/>
    </xf>
    <xf numFmtId="0" fontId="9" fillId="4" borderId="2" xfId="0" applyFont="1" applyFill="1" applyBorder="1" applyAlignment="1">
      <alignment vertical="top" wrapText="1"/>
    </xf>
    <xf numFmtId="8" fontId="9" fillId="6" borderId="1" xfId="0" applyNumberFormat="1" applyFont="1" applyFill="1" applyBorder="1"/>
    <xf numFmtId="0" fontId="10" fillId="7" borderId="19" xfId="0" applyFont="1" applyFill="1" applyBorder="1" applyAlignment="1">
      <alignment vertical="top" wrapText="1"/>
    </xf>
    <xf numFmtId="0" fontId="0" fillId="0" borderId="0" xfId="0" applyBorder="1"/>
    <xf numFmtId="0" fontId="0" fillId="2" borderId="0" xfId="0" applyFill="1" applyBorder="1"/>
    <xf numFmtId="0" fontId="9" fillId="2" borderId="0" xfId="0" applyFont="1" applyFill="1" applyBorder="1" applyAlignment="1">
      <alignment vertical="top" wrapText="1"/>
    </xf>
    <xf numFmtId="8" fontId="10" fillId="2" borderId="0" xfId="0" applyNumberFormat="1" applyFont="1" applyFill="1" applyBorder="1" applyAlignment="1">
      <alignment vertical="top"/>
    </xf>
    <xf numFmtId="8" fontId="9" fillId="2" borderId="0" xfId="0" applyNumberFormat="1" applyFont="1" applyFill="1" applyBorder="1" applyAlignment="1">
      <alignment vertical="top"/>
    </xf>
    <xf numFmtId="8" fontId="9" fillId="2" borderId="0" xfId="0" applyNumberFormat="1" applyFont="1" applyFill="1" applyBorder="1"/>
    <xf numFmtId="0" fontId="9" fillId="2" borderId="0" xfId="0" applyFont="1" applyFill="1" applyBorder="1"/>
    <xf numFmtId="0" fontId="9" fillId="3" borderId="0" xfId="0" applyFont="1" applyFill="1"/>
    <xf numFmtId="0" fontId="0" fillId="12" borderId="1" xfId="0" applyFill="1" applyBorder="1" applyAlignment="1">
      <alignment vertical="top" wrapText="1"/>
    </xf>
    <xf numFmtId="0" fontId="18" fillId="6" borderId="0" xfId="0" applyFont="1" applyFill="1"/>
    <xf numFmtId="0" fontId="17" fillId="6" borderId="1" xfId="0" applyFont="1" applyFill="1" applyBorder="1" applyAlignment="1">
      <alignment horizontal="center"/>
    </xf>
    <xf numFmtId="0" fontId="17" fillId="12" borderId="0" xfId="0" applyFont="1" applyFill="1"/>
    <xf numFmtId="0" fontId="0" fillId="12" borderId="0" xfId="0" applyFill="1"/>
    <xf numFmtId="0" fontId="17" fillId="9" borderId="20" xfId="0" applyFont="1" applyFill="1" applyBorder="1" applyAlignment="1">
      <alignment horizontal="left" wrapText="1"/>
    </xf>
    <xf numFmtId="0" fontId="9" fillId="9" borderId="1" xfId="0" applyFont="1" applyFill="1" applyBorder="1"/>
    <xf numFmtId="0" fontId="0" fillId="2" borderId="17" xfId="0" applyFill="1" applyBorder="1" applyAlignment="1">
      <alignment horizontal="left" wrapText="1"/>
    </xf>
    <xf numFmtId="0" fontId="0" fillId="12" borderId="0" xfId="0" applyFill="1" applyBorder="1"/>
    <xf numFmtId="169" fontId="3" fillId="13" borderId="1" xfId="1" applyNumberFormat="1" applyFont="1" applyFill="1" applyBorder="1" applyAlignment="1">
      <alignment vertical="center" wrapText="1"/>
    </xf>
    <xf numFmtId="0" fontId="0" fillId="14" borderId="1" xfId="0" applyFill="1" applyBorder="1" applyAlignment="1">
      <alignment vertical="top" wrapText="1"/>
    </xf>
    <xf numFmtId="8" fontId="0" fillId="14" borderId="1" xfId="0" applyNumberFormat="1" applyFill="1" applyBorder="1" applyAlignment="1">
      <alignment vertical="top"/>
    </xf>
    <xf numFmtId="8" fontId="0" fillId="14" borderId="2" xfId="0" applyNumberFormat="1" applyFill="1" applyBorder="1" applyAlignment="1">
      <alignment vertical="top"/>
    </xf>
    <xf numFmtId="170" fontId="0" fillId="14" borderId="1" xfId="0" applyNumberFormat="1" applyFill="1" applyBorder="1"/>
    <xf numFmtId="8" fontId="0" fillId="14" borderId="1" xfId="0" applyNumberFormat="1" applyFill="1" applyBorder="1"/>
    <xf numFmtId="0" fontId="0" fillId="14" borderId="1" xfId="0" applyFill="1" applyBorder="1"/>
    <xf numFmtId="0" fontId="0" fillId="14" borderId="1" xfId="0" applyNumberFormat="1" applyFill="1" applyBorder="1"/>
    <xf numFmtId="0" fontId="2" fillId="16" borderId="1" xfId="0" applyFont="1" applyFill="1" applyBorder="1" applyAlignment="1">
      <alignment vertical="top" wrapText="1"/>
    </xf>
    <xf numFmtId="164" fontId="3" fillId="16" borderId="1" xfId="1" applyNumberFormat="1" applyFont="1" applyFill="1" applyBorder="1" applyAlignment="1">
      <alignment vertical="top" wrapText="1"/>
    </xf>
    <xf numFmtId="164" fontId="3" fillId="16" borderId="1" xfId="1" applyNumberFormat="1" applyFont="1" applyFill="1" applyBorder="1" applyAlignment="1">
      <alignment horizontal="center" vertical="center" wrapText="1"/>
    </xf>
    <xf numFmtId="38" fontId="3" fillId="16" borderId="1" xfId="1" applyNumberFormat="1" applyFont="1" applyFill="1" applyBorder="1" applyAlignment="1">
      <alignment vertical="top" wrapText="1"/>
    </xf>
    <xf numFmtId="165" fontId="3" fillId="16" borderId="1" xfId="1" applyNumberFormat="1" applyFont="1" applyFill="1" applyBorder="1" applyAlignment="1">
      <alignment vertical="center" wrapText="1"/>
    </xf>
    <xf numFmtId="165" fontId="5" fillId="16" borderId="1" xfId="1" applyNumberFormat="1" applyFont="1" applyFill="1" applyBorder="1" applyAlignment="1">
      <alignment vertical="center"/>
    </xf>
    <xf numFmtId="165" fontId="5" fillId="16" borderId="1" xfId="1" applyNumberFormat="1" applyFont="1" applyFill="1" applyBorder="1" applyAlignment="1">
      <alignment vertical="center" wrapText="1"/>
    </xf>
    <xf numFmtId="0" fontId="2" fillId="11" borderId="5" xfId="0" applyFont="1" applyFill="1" applyBorder="1" applyAlignment="1">
      <alignment horizontal="left" vertical="top" wrapText="1"/>
    </xf>
    <xf numFmtId="0" fontId="2" fillId="11" borderId="6" xfId="0" applyFont="1" applyFill="1" applyBorder="1" applyAlignment="1">
      <alignment horizontal="left" vertical="top" wrapText="1"/>
    </xf>
    <xf numFmtId="0" fontId="2" fillId="11" borderId="7" xfId="0" applyFont="1" applyFill="1" applyBorder="1" applyAlignment="1">
      <alignment horizontal="left" vertical="top" wrapText="1"/>
    </xf>
    <xf numFmtId="169" fontId="3" fillId="11" borderId="8" xfId="1" applyNumberFormat="1" applyFont="1" applyFill="1" applyBorder="1" applyAlignment="1">
      <alignment vertical="center" wrapText="1"/>
    </xf>
    <xf numFmtId="169" fontId="3" fillId="11" borderId="1" xfId="1" applyNumberFormat="1" applyFont="1" applyFill="1" applyBorder="1" applyAlignment="1">
      <alignment vertical="center" wrapText="1"/>
    </xf>
    <xf numFmtId="0" fontId="2" fillId="11" borderId="2" xfId="0" applyFont="1" applyFill="1" applyBorder="1" applyAlignment="1">
      <alignment horizontal="left" vertical="top" wrapText="1"/>
    </xf>
    <xf numFmtId="0" fontId="2" fillId="11" borderId="3" xfId="0" applyFont="1" applyFill="1" applyBorder="1" applyAlignment="1">
      <alignment horizontal="left" vertical="top" wrapText="1"/>
    </xf>
    <xf numFmtId="0" fontId="2" fillId="11" borderId="4" xfId="0" applyFont="1" applyFill="1" applyBorder="1" applyAlignment="1">
      <alignment horizontal="left" vertical="top" wrapText="1"/>
    </xf>
    <xf numFmtId="0" fontId="20" fillId="0" borderId="0" xfId="0" applyFont="1"/>
    <xf numFmtId="0" fontId="19" fillId="0" borderId="0" xfId="0" applyFont="1"/>
    <xf numFmtId="0" fontId="21" fillId="0" borderId="0" xfId="0" applyFont="1"/>
    <xf numFmtId="8" fontId="0" fillId="14" borderId="0" xfId="0" applyNumberFormat="1" applyFill="1"/>
    <xf numFmtId="0" fontId="0" fillId="14" borderId="0" xfId="0" applyFill="1"/>
    <xf numFmtId="170" fontId="0" fillId="14" borderId="1" xfId="0" applyNumberFormat="1" applyFill="1" applyBorder="1" applyAlignment="1">
      <alignment vertical="top"/>
    </xf>
    <xf numFmtId="0" fontId="0" fillId="14" borderId="1" xfId="0" applyFill="1" applyBorder="1" applyAlignment="1">
      <alignment wrapText="1"/>
    </xf>
    <xf numFmtId="4" fontId="0" fillId="14" borderId="1" xfId="0" applyNumberFormat="1" applyFill="1" applyBorder="1"/>
    <xf numFmtId="9" fontId="0" fillId="14" borderId="1" xfId="0" applyNumberFormat="1" applyFill="1" applyBorder="1" applyAlignment="1">
      <alignment wrapText="1"/>
    </xf>
    <xf numFmtId="0" fontId="17" fillId="14" borderId="20" xfId="0" applyFont="1" applyFill="1" applyBorder="1" applyAlignment="1">
      <alignment horizontal="left" wrapText="1"/>
    </xf>
    <xf numFmtId="0" fontId="17" fillId="14" borderId="18" xfId="0" applyFont="1" applyFill="1" applyBorder="1" applyAlignment="1">
      <alignment horizontal="left" wrapText="1"/>
    </xf>
    <xf numFmtId="0" fontId="17" fillId="14" borderId="17" xfId="0" applyFont="1" applyFill="1" applyBorder="1" applyAlignment="1">
      <alignment horizontal="left" wrapText="1"/>
    </xf>
    <xf numFmtId="9" fontId="0" fillId="14" borderId="0" xfId="0" applyNumberFormat="1" applyFill="1"/>
    <xf numFmtId="0" fontId="0" fillId="14" borderId="1" xfId="0" applyFill="1" applyBorder="1" applyAlignment="1">
      <alignment vertical="top"/>
    </xf>
    <xf numFmtId="169" fontId="5" fillId="13" borderId="1" xfId="1" applyNumberFormat="1" applyFont="1" applyFill="1" applyBorder="1" applyAlignment="1">
      <alignment vertical="center" wrapText="1"/>
    </xf>
    <xf numFmtId="169" fontId="5" fillId="13" borderId="1" xfId="1" applyNumberFormat="1" applyFont="1" applyFill="1" applyBorder="1" applyAlignment="1">
      <alignment vertical="center"/>
    </xf>
    <xf numFmtId="169" fontId="5" fillId="13" borderId="12" xfId="1" applyNumberFormat="1" applyFont="1" applyFill="1" applyBorder="1" applyAlignment="1">
      <alignment vertical="center" wrapText="1"/>
    </xf>
    <xf numFmtId="169" fontId="3" fillId="13" borderId="1" xfId="1" applyNumberFormat="1" applyFont="1" applyFill="1" applyBorder="1" applyAlignment="1">
      <alignment vertical="center"/>
    </xf>
    <xf numFmtId="169" fontId="3" fillId="13" borderId="12" xfId="1" applyNumberFormat="1" applyFont="1" applyFill="1" applyBorder="1" applyAlignment="1">
      <alignment vertical="center" wrapText="1"/>
    </xf>
    <xf numFmtId="166" fontId="5" fillId="13" borderId="1" xfId="1" applyNumberFormat="1" applyFont="1" applyFill="1" applyBorder="1" applyAlignment="1">
      <alignment vertical="center" wrapText="1"/>
    </xf>
    <xf numFmtId="0" fontId="2" fillId="4" borderId="13"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15" xfId="0" applyFont="1" applyFill="1" applyBorder="1" applyAlignment="1">
      <alignment horizontal="left" vertical="top" wrapText="1"/>
    </xf>
    <xf numFmtId="0" fontId="4" fillId="8" borderId="0" xfId="0" applyFont="1" applyFill="1"/>
    <xf numFmtId="165" fontId="4" fillId="8" borderId="0" xfId="0" applyNumberFormat="1" applyFont="1" applyFill="1"/>
    <xf numFmtId="167" fontId="4" fillId="8" borderId="0" xfId="0" applyNumberFormat="1" applyFont="1" applyFill="1"/>
    <xf numFmtId="168" fontId="4" fillId="8" borderId="0" xfId="1" applyNumberFormat="1" applyFont="1" applyFill="1"/>
    <xf numFmtId="0" fontId="2" fillId="15" borderId="0" xfId="0" applyFont="1" applyFill="1" applyBorder="1" applyAlignment="1">
      <alignment horizontal="left" vertical="top" wrapText="1"/>
    </xf>
    <xf numFmtId="169" fontId="3" fillId="15" borderId="0" xfId="1" applyNumberFormat="1" applyFont="1" applyFill="1" applyBorder="1" applyAlignment="1">
      <alignment vertical="center" wrapText="1"/>
    </xf>
    <xf numFmtId="0" fontId="0" fillId="15" borderId="0" xfId="0" applyFill="1"/>
    <xf numFmtId="0" fontId="0" fillId="12" borderId="7" xfId="0" applyFill="1" applyBorder="1" applyAlignment="1">
      <alignment vertical="top" wrapText="1"/>
    </xf>
    <xf numFmtId="0" fontId="0" fillId="12" borderId="4" xfId="0" applyFill="1" applyBorder="1" applyAlignment="1">
      <alignment vertical="top" wrapText="1"/>
    </xf>
    <xf numFmtId="169" fontId="3" fillId="8" borderId="8" xfId="1" applyNumberFormat="1" applyFont="1" applyFill="1" applyBorder="1" applyAlignment="1">
      <alignment vertical="center" wrapText="1"/>
    </xf>
    <xf numFmtId="169" fontId="3" fillId="8" borderId="1" xfId="1" applyNumberFormat="1" applyFont="1" applyFill="1" applyBorder="1" applyAlignment="1">
      <alignment vertical="center" wrapText="1"/>
    </xf>
    <xf numFmtId="170" fontId="0" fillId="8" borderId="1" xfId="0" applyNumberFormat="1" applyFill="1" applyBorder="1"/>
    <xf numFmtId="8" fontId="0" fillId="8" borderId="1" xfId="0" applyNumberFormat="1" applyFill="1" applyBorder="1" applyAlignment="1">
      <alignment vertical="top"/>
    </xf>
    <xf numFmtId="8" fontId="0" fillId="8" borderId="2" xfId="0" applyNumberFormat="1" applyFill="1" applyBorder="1" applyAlignment="1">
      <alignment vertical="top"/>
    </xf>
    <xf numFmtId="8" fontId="9" fillId="8" borderId="1" xfId="0" applyNumberFormat="1" applyFont="1" applyFill="1" applyBorder="1"/>
    <xf numFmtId="169" fontId="3" fillId="7" borderId="1" xfId="1" applyNumberFormat="1" applyFont="1" applyFill="1" applyBorder="1" applyAlignment="1">
      <alignment vertical="center" wrapText="1"/>
    </xf>
    <xf numFmtId="169" fontId="3" fillId="7" borderId="16" xfId="1" applyNumberFormat="1" applyFont="1" applyFill="1" applyBorder="1" applyAlignment="1">
      <alignment vertical="center" wrapText="1"/>
    </xf>
    <xf numFmtId="0" fontId="19" fillId="12" borderId="0" xfId="0" applyFont="1" applyFill="1"/>
    <xf numFmtId="0" fontId="22" fillId="12" borderId="0" xfId="0" applyFont="1" applyFill="1"/>
    <xf numFmtId="0" fontId="23" fillId="12" borderId="0" xfId="0" applyFont="1" applyFill="1"/>
    <xf numFmtId="0" fontId="23" fillId="12" borderId="1" xfId="0" applyFont="1" applyFill="1" applyBorder="1"/>
    <xf numFmtId="8" fontId="9" fillId="8" borderId="1" xfId="0" applyNumberFormat="1" applyFont="1" applyFill="1" applyBorder="1" applyAlignment="1">
      <alignment vertical="top"/>
    </xf>
    <xf numFmtId="6" fontId="0" fillId="14" borderId="0" xfId="0" applyNumberFormat="1" applyFill="1"/>
    <xf numFmtId="170" fontId="0" fillId="8" borderId="1" xfId="0" applyNumberFormat="1" applyFill="1" applyBorder="1" applyAlignment="1">
      <alignment vertical="top"/>
    </xf>
    <xf numFmtId="8" fontId="17" fillId="8" borderId="1" xfId="0" applyNumberFormat="1" applyFont="1" applyFill="1" applyBorder="1" applyAlignment="1">
      <alignment vertical="top"/>
    </xf>
    <xf numFmtId="0" fontId="24" fillId="12" borderId="0" xfId="0" applyFont="1" applyFill="1"/>
    <xf numFmtId="0" fontId="25" fillId="0" borderId="0" xfId="0" applyFont="1"/>
    <xf numFmtId="0" fontId="25" fillId="12" borderId="0" xfId="0" applyFont="1" applyFill="1"/>
    <xf numFmtId="0" fontId="0" fillId="15" borderId="1" xfId="0" applyFill="1" applyBorder="1" applyAlignment="1">
      <alignment vertical="top" wrapText="1"/>
    </xf>
    <xf numFmtId="0" fontId="0" fillId="3" borderId="0" xfId="0" applyFill="1" applyBorder="1"/>
    <xf numFmtId="0" fontId="0" fillId="4" borderId="0" xfId="0" applyFill="1" applyBorder="1" applyAlignment="1">
      <alignment vertical="top"/>
    </xf>
    <xf numFmtId="0" fontId="0" fillId="4" borderId="0" xfId="0" applyFill="1" applyBorder="1"/>
    <xf numFmtId="0" fontId="0" fillId="0" borderId="0" xfId="0" applyFill="1" applyBorder="1"/>
    <xf numFmtId="0" fontId="0" fillId="3" borderId="0" xfId="0" applyFill="1" applyBorder="1" applyAlignment="1">
      <alignment vertical="top" wrapText="1"/>
    </xf>
    <xf numFmtId="10" fontId="0" fillId="14" borderId="0" xfId="0" applyNumberFormat="1" applyFill="1"/>
    <xf numFmtId="0" fontId="26" fillId="12" borderId="0" xfId="0" applyFont="1" applyFill="1"/>
    <xf numFmtId="0" fontId="27" fillId="12" borderId="0" xfId="0" applyFont="1" applyFill="1" applyAlignment="1">
      <alignment vertical="center"/>
    </xf>
    <xf numFmtId="0" fontId="26" fillId="0" borderId="0" xfId="0" applyFont="1"/>
    <xf numFmtId="0" fontId="27" fillId="12" borderId="0" xfId="0" applyFont="1" applyFill="1"/>
    <xf numFmtId="0" fontId="15" fillId="12" borderId="0" xfId="0" applyFont="1" applyFill="1"/>
    <xf numFmtId="0" fontId="9" fillId="2" borderId="1" xfId="0" applyFont="1" applyFill="1" applyBorder="1" applyAlignment="1">
      <alignment vertical="top" wrapText="1"/>
    </xf>
    <xf numFmtId="0" fontId="11" fillId="7" borderId="1" xfId="0" applyFont="1" applyFill="1" applyBorder="1" applyAlignment="1">
      <alignment vertical="top"/>
    </xf>
    <xf numFmtId="170" fontId="11" fillId="7" borderId="1" xfId="0" applyNumberFormat="1" applyFont="1" applyFill="1" applyBorder="1" applyAlignment="1">
      <alignment vertical="top"/>
    </xf>
    <xf numFmtId="0" fontId="11" fillId="7" borderId="7" xfId="0" applyFont="1" applyFill="1" applyBorder="1" applyAlignment="1">
      <alignment vertical="top" wrapText="1"/>
    </xf>
    <xf numFmtId="0" fontId="0" fillId="8" borderId="1" xfId="0" applyFill="1" applyBorder="1" applyAlignment="1">
      <alignment vertical="top"/>
    </xf>
    <xf numFmtId="0" fontId="10" fillId="17" borderId="1" xfId="0" applyFont="1" applyFill="1" applyBorder="1" applyAlignment="1">
      <alignment wrapText="1"/>
    </xf>
    <xf numFmtId="0" fontId="9" fillId="2" borderId="20" xfId="0" applyFont="1" applyFill="1" applyBorder="1" applyAlignment="1">
      <alignment horizontal="left" wrapText="1"/>
    </xf>
    <xf numFmtId="0" fontId="9" fillId="0" borderId="0" xfId="0" applyFont="1"/>
    <xf numFmtId="0" fontId="28" fillId="12" borderId="0" xfId="0" applyFont="1" applyFill="1"/>
    <xf numFmtId="0" fontId="0" fillId="8" borderId="5" xfId="0" applyFill="1" applyBorder="1" applyAlignment="1">
      <alignment vertical="top"/>
    </xf>
    <xf numFmtId="170" fontId="0" fillId="8" borderId="6" xfId="0" applyNumberFormat="1" applyFill="1" applyBorder="1" applyAlignment="1">
      <alignment vertical="top"/>
    </xf>
    <xf numFmtId="0" fontId="0" fillId="12" borderId="1" xfId="0" applyFill="1" applyBorder="1" applyAlignment="1">
      <alignment wrapText="1"/>
    </xf>
    <xf numFmtId="0" fontId="0" fillId="3" borderId="1" xfId="0" applyFill="1" applyBorder="1"/>
    <xf numFmtId="170" fontId="0" fillId="6" borderId="1" xfId="0" applyNumberFormat="1" applyFill="1" applyBorder="1"/>
    <xf numFmtId="170" fontId="0" fillId="8" borderId="8" xfId="0" applyNumberFormat="1" applyFill="1" applyBorder="1"/>
    <xf numFmtId="0" fontId="0" fillId="8" borderId="0" xfId="0" applyFill="1"/>
    <xf numFmtId="1" fontId="0" fillId="8" borderId="0" xfId="0" applyNumberFormat="1" applyFill="1"/>
    <xf numFmtId="0" fontId="9" fillId="2" borderId="1" xfId="0" applyFont="1" applyFill="1" applyBorder="1" applyAlignment="1">
      <alignment wrapText="1"/>
    </xf>
    <xf numFmtId="1" fontId="9" fillId="8" borderId="1" xfId="0" applyNumberFormat="1" applyFont="1" applyFill="1" applyBorder="1"/>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19" fillId="10" borderId="2" xfId="0" applyFont="1" applyFill="1" applyBorder="1" applyAlignment="1">
      <alignment horizontal="left" vertical="top" wrapText="1"/>
    </xf>
    <xf numFmtId="0" fontId="19" fillId="10" borderId="3" xfId="0" applyFont="1" applyFill="1" applyBorder="1" applyAlignment="1">
      <alignment horizontal="left" vertical="top" wrapText="1"/>
    </xf>
    <xf numFmtId="0" fontId="19" fillId="10" borderId="4" xfId="0" applyFont="1" applyFill="1" applyBorder="1" applyAlignment="1">
      <alignment horizontal="left" vertical="top" wrapText="1"/>
    </xf>
    <xf numFmtId="0" fontId="13" fillId="10" borderId="2" xfId="0" applyFont="1" applyFill="1" applyBorder="1" applyAlignment="1">
      <alignment horizontal="left" vertical="top" wrapText="1"/>
    </xf>
    <xf numFmtId="0" fontId="13" fillId="10" borderId="3" xfId="0" applyFont="1" applyFill="1" applyBorder="1" applyAlignment="1">
      <alignment horizontal="left" vertical="top" wrapText="1"/>
    </xf>
    <xf numFmtId="0" fontId="13" fillId="10" borderId="4" xfId="0" applyFont="1" applyFill="1" applyBorder="1" applyAlignment="1">
      <alignment horizontal="left" vertical="top" wrapText="1"/>
    </xf>
    <xf numFmtId="0" fontId="2" fillId="16" borderId="2" xfId="0" applyFont="1" applyFill="1" applyBorder="1" applyAlignment="1">
      <alignment horizontal="left" vertical="top" wrapText="1"/>
    </xf>
    <xf numFmtId="0" fontId="2" fillId="16" borderId="3" xfId="0" applyFont="1" applyFill="1" applyBorder="1" applyAlignment="1">
      <alignment horizontal="left" vertical="top" wrapText="1"/>
    </xf>
    <xf numFmtId="0" fontId="2" fillId="16" borderId="4"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cellXfs>
  <cellStyles count="6">
    <cellStyle name="Comma" xfId="1" builtinId="3"/>
    <cellStyle name="Comma 2" xfId="2"/>
    <cellStyle name="Comma 2 2" xfId="3"/>
    <cellStyle name="Normal" xfId="0" builtinId="0"/>
    <cellStyle name="Normal 2" xfId="4"/>
    <cellStyle name="Percent 2" xfId="5"/>
  </cellStyles>
  <dxfs count="0"/>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tabSelected="1" workbookViewId="0">
      <selection activeCell="I5" sqref="I5"/>
    </sheetView>
  </sheetViews>
  <sheetFormatPr defaultRowHeight="15" x14ac:dyDescent="0.25"/>
  <sheetData>
    <row r="1" spans="1:5" ht="18.75" x14ac:dyDescent="0.3">
      <c r="A1" s="120" t="s">
        <v>165</v>
      </c>
      <c r="B1" s="120"/>
      <c r="C1" s="120"/>
      <c r="D1" s="120"/>
      <c r="E1" s="120"/>
    </row>
    <row r="3" spans="1:5" x14ac:dyDescent="0.25">
      <c r="A3" t="s">
        <v>73</v>
      </c>
    </row>
    <row r="4" spans="1:5" x14ac:dyDescent="0.25">
      <c r="A4" t="s">
        <v>74</v>
      </c>
    </row>
    <row r="5" spans="1:5" x14ac:dyDescent="0.25">
      <c r="A5" t="s">
        <v>76</v>
      </c>
    </row>
    <row r="6" spans="1:5" x14ac:dyDescent="0.25">
      <c r="A6" t="s">
        <v>77</v>
      </c>
    </row>
    <row r="7" spans="1:5" x14ac:dyDescent="0.25">
      <c r="A7" t="s">
        <v>80</v>
      </c>
    </row>
    <row r="8" spans="1:5" x14ac:dyDescent="0.25">
      <c r="A8" t="s">
        <v>117</v>
      </c>
    </row>
    <row r="9" spans="1:5" x14ac:dyDescent="0.25">
      <c r="A9" t="s">
        <v>123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workbookViewId="0">
      <selection activeCell="E7" sqref="E7"/>
    </sheetView>
  </sheetViews>
  <sheetFormatPr defaultRowHeight="15" x14ac:dyDescent="0.25"/>
  <cols>
    <col min="1" max="1" width="51.7109375" customWidth="1"/>
  </cols>
  <sheetData>
    <row r="1" spans="1:15" s="7" customFormat="1" ht="21" x14ac:dyDescent="0.35">
      <c r="A1" s="121" t="s">
        <v>81</v>
      </c>
    </row>
    <row r="2" spans="1:15" x14ac:dyDescent="0.25">
      <c r="A2" s="91" t="s">
        <v>69</v>
      </c>
      <c r="B2" s="7"/>
      <c r="C2" s="7"/>
    </row>
    <row r="3" spans="1:15" s="7" customFormat="1" x14ac:dyDescent="0.25">
      <c r="A3" s="93" t="s">
        <v>36</v>
      </c>
      <c r="B3" s="94" t="s">
        <v>70</v>
      </c>
      <c r="C3" s="94" t="s">
        <v>71</v>
      </c>
    </row>
    <row r="4" spans="1:15" s="7" customFormat="1" x14ac:dyDescent="0.25">
      <c r="B4" s="129">
        <v>5000</v>
      </c>
      <c r="C4" s="129">
        <v>35000</v>
      </c>
    </row>
    <row r="5" spans="1:15" s="7" customFormat="1" x14ac:dyDescent="0.25">
      <c r="A5" s="80"/>
      <c r="B5" s="33"/>
      <c r="C5" s="45"/>
    </row>
    <row r="6" spans="1:15" ht="15.75" thickBot="1" x14ac:dyDescent="0.3">
      <c r="A6" s="89" t="s">
        <v>41</v>
      </c>
      <c r="B6" s="90" t="s">
        <v>29</v>
      </c>
      <c r="C6" s="90" t="s">
        <v>30</v>
      </c>
    </row>
    <row r="7" spans="1:15" ht="15.75" thickBot="1" x14ac:dyDescent="0.3">
      <c r="A7" s="95" t="s">
        <v>31</v>
      </c>
      <c r="B7" s="130">
        <v>20000</v>
      </c>
      <c r="C7" s="130">
        <v>20000</v>
      </c>
      <c r="E7" s="92" t="s">
        <v>174</v>
      </c>
      <c r="F7" s="92"/>
      <c r="G7" s="92"/>
      <c r="H7" s="92"/>
      <c r="I7" s="92"/>
      <c r="J7" s="92"/>
      <c r="K7" s="92"/>
      <c r="L7" s="92"/>
      <c r="M7" s="92"/>
      <c r="N7" s="92"/>
      <c r="O7" s="92"/>
    </row>
    <row r="8" spans="1:15" ht="15.75" thickBot="1" x14ac:dyDescent="0.3">
      <c r="A8" s="95" t="s">
        <v>32</v>
      </c>
      <c r="B8" s="131">
        <v>10000</v>
      </c>
      <c r="C8" s="131">
        <v>20000</v>
      </c>
    </row>
    <row r="9" spans="1:15" ht="15.75" thickBot="1" x14ac:dyDescent="0.3">
      <c r="A9" s="95" t="s">
        <v>33</v>
      </c>
      <c r="B9" s="131">
        <v>10000</v>
      </c>
      <c r="C9" s="131">
        <v>25000</v>
      </c>
    </row>
    <row r="10" spans="1:15" ht="15.75" thickBot="1" x14ac:dyDescent="0.3">
      <c r="A10" s="95" t="s">
        <v>34</v>
      </c>
      <c r="B10" s="131">
        <v>25000</v>
      </c>
      <c r="C10" s="131">
        <v>10000</v>
      </c>
    </row>
    <row r="11" spans="1:15" ht="15.75" thickBot="1" x14ac:dyDescent="0.3">
      <c r="A11" s="95" t="s">
        <v>35</v>
      </c>
      <c r="B11" s="131">
        <v>15000</v>
      </c>
      <c r="C11" s="131">
        <v>30000</v>
      </c>
    </row>
    <row r="12" spans="1:15" x14ac:dyDescent="0.25">
      <c r="A12" s="189" t="s">
        <v>149</v>
      </c>
      <c r="B12" s="190">
        <f>SUM(B7:B11)</f>
        <v>80000</v>
      </c>
      <c r="C12" s="190">
        <f>SUM(C7:C11)</f>
        <v>105000</v>
      </c>
    </row>
    <row r="13" spans="1:15" s="7" customFormat="1" x14ac:dyDescent="0.25"/>
    <row r="14" spans="1:15" x14ac:dyDescent="0.25">
      <c r="A14" s="96" t="s">
        <v>72</v>
      </c>
      <c r="B14" s="92"/>
      <c r="C14" s="92"/>
      <c r="D14" s="92"/>
      <c r="E14" s="92"/>
      <c r="F14" s="92"/>
      <c r="G14" s="9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4"/>
  <sheetViews>
    <sheetView workbookViewId="0">
      <selection activeCell="K35" sqref="K35:U35"/>
    </sheetView>
  </sheetViews>
  <sheetFormatPr defaultRowHeight="15" x14ac:dyDescent="0.25"/>
  <cols>
    <col min="1" max="1" width="43.5703125" style="7" customWidth="1"/>
    <col min="2" max="2" width="9.140625" style="7" hidden="1" customWidth="1"/>
    <col min="3" max="3" width="14" style="7" customWidth="1"/>
    <col min="4" max="4" width="15.42578125" style="7" customWidth="1"/>
    <col min="5" max="6" width="16.85546875" style="7" customWidth="1"/>
    <col min="7" max="7" width="16.5703125" style="7" customWidth="1"/>
    <col min="8" max="8" width="18.85546875" style="7" customWidth="1"/>
    <col min="9" max="9" width="18.28515625" style="7" customWidth="1"/>
    <col min="10" max="10" width="9.140625" style="7"/>
    <col min="11" max="11" width="12.7109375" style="7" bestFit="1" customWidth="1"/>
    <col min="12" max="12" width="11.140625" style="7" bestFit="1" customWidth="1"/>
    <col min="13" max="16384" width="9.140625" style="7"/>
  </cols>
  <sheetData>
    <row r="1" spans="1:64" ht="21" x14ac:dyDescent="0.25">
      <c r="A1" s="205" t="s">
        <v>75</v>
      </c>
      <c r="B1" s="206"/>
      <c r="C1" s="207"/>
    </row>
    <row r="2" spans="1:64" ht="30" x14ac:dyDescent="0.25">
      <c r="A2" s="208" t="s">
        <v>50</v>
      </c>
      <c r="B2" s="209"/>
      <c r="C2" s="210"/>
      <c r="D2" s="51" t="s">
        <v>23</v>
      </c>
      <c r="E2" s="51" t="s">
        <v>25</v>
      </c>
      <c r="F2" s="51" t="s">
        <v>24</v>
      </c>
      <c r="G2" s="51" t="s">
        <v>26</v>
      </c>
      <c r="H2" s="51" t="s">
        <v>27</v>
      </c>
      <c r="I2" s="51" t="s">
        <v>28</v>
      </c>
    </row>
    <row r="3" spans="1:64" ht="25.5" x14ac:dyDescent="0.25">
      <c r="A3" s="105" t="s">
        <v>1</v>
      </c>
      <c r="B3" s="106"/>
      <c r="C3" s="107" t="s">
        <v>2</v>
      </c>
      <c r="D3" s="108"/>
      <c r="E3" s="108"/>
      <c r="F3" s="108"/>
      <c r="G3" s="108"/>
      <c r="H3" s="108"/>
      <c r="I3" s="108"/>
    </row>
    <row r="4" spans="1:64" x14ac:dyDescent="0.25">
      <c r="A4" s="8" t="s">
        <v>1</v>
      </c>
      <c r="B4" s="1"/>
      <c r="C4" s="2">
        <v>5</v>
      </c>
      <c r="D4" s="134">
        <f>SUM('Capital costs '!B16)</f>
        <v>5000</v>
      </c>
      <c r="E4" s="134">
        <f>SUM('Capital costs '!C16)</f>
        <v>0</v>
      </c>
      <c r="F4" s="134">
        <f>SUM('Capital costs '!D16)</f>
        <v>0</v>
      </c>
      <c r="G4" s="134">
        <f>SUM('Capital costs '!E16)</f>
        <v>0</v>
      </c>
      <c r="H4" s="134">
        <f>SUM('Capital costs '!F16)</f>
        <v>0</v>
      </c>
      <c r="I4" s="134">
        <f>SUM('Capital costs '!G16)</f>
        <v>0</v>
      </c>
    </row>
    <row r="5" spans="1:64" x14ac:dyDescent="0.25">
      <c r="A5" s="3" t="s">
        <v>5</v>
      </c>
      <c r="B5" s="4"/>
      <c r="C5" s="4"/>
      <c r="D5" s="137">
        <f t="shared" ref="D5:I5" si="0">SUM(D4:D4)</f>
        <v>5000</v>
      </c>
      <c r="E5" s="137">
        <f t="shared" si="0"/>
        <v>0</v>
      </c>
      <c r="F5" s="137">
        <f t="shared" si="0"/>
        <v>0</v>
      </c>
      <c r="G5" s="137">
        <f t="shared" si="0"/>
        <v>0</v>
      </c>
      <c r="H5" s="137">
        <f t="shared" si="0"/>
        <v>0</v>
      </c>
      <c r="I5" s="137">
        <f t="shared" si="0"/>
        <v>0</v>
      </c>
      <c r="K5" s="19"/>
      <c r="L5" s="19"/>
    </row>
    <row r="6" spans="1:64" x14ac:dyDescent="0.25">
      <c r="A6" s="211" t="s">
        <v>15</v>
      </c>
      <c r="B6" s="212"/>
      <c r="C6" s="213"/>
      <c r="D6" s="109"/>
      <c r="E6" s="109"/>
      <c r="F6" s="109"/>
      <c r="G6" s="109"/>
      <c r="H6" s="109"/>
      <c r="I6" s="109"/>
    </row>
    <row r="7" spans="1:64" ht="14.25" customHeight="1" x14ac:dyDescent="0.25">
      <c r="A7" s="214" t="s">
        <v>89</v>
      </c>
      <c r="B7" s="215"/>
      <c r="C7" s="216"/>
      <c r="D7" s="135">
        <f>SUM('Implementation costs'!B13)</f>
        <v>55000</v>
      </c>
      <c r="E7" s="135"/>
      <c r="F7" s="135"/>
      <c r="G7" s="135"/>
      <c r="H7" s="135"/>
      <c r="I7" s="135"/>
    </row>
    <row r="8" spans="1:64" x14ac:dyDescent="0.25">
      <c r="A8" s="217" t="s">
        <v>6</v>
      </c>
      <c r="B8" s="218"/>
      <c r="C8" s="219"/>
      <c r="D8" s="137">
        <f t="shared" ref="D8:I8" si="1">SUM(D7:D7)</f>
        <v>55000</v>
      </c>
      <c r="E8" s="137">
        <f t="shared" si="1"/>
        <v>0</v>
      </c>
      <c r="F8" s="137">
        <f t="shared" si="1"/>
        <v>0</v>
      </c>
      <c r="G8" s="137">
        <f t="shared" si="1"/>
        <v>0</v>
      </c>
      <c r="H8" s="137">
        <f t="shared" si="1"/>
        <v>0</v>
      </c>
      <c r="I8" s="137">
        <f t="shared" si="1"/>
        <v>0</v>
      </c>
    </row>
    <row r="9" spans="1:64" x14ac:dyDescent="0.25">
      <c r="A9" s="211" t="s">
        <v>0</v>
      </c>
      <c r="B9" s="212"/>
      <c r="C9" s="213"/>
      <c r="D9" s="110"/>
      <c r="E9" s="110"/>
      <c r="F9" s="110"/>
      <c r="G9" s="110"/>
      <c r="H9" s="110"/>
      <c r="I9" s="110"/>
    </row>
    <row r="10" spans="1:64" hidden="1" x14ac:dyDescent="0.25">
      <c r="A10" s="220"/>
      <c r="B10" s="221"/>
      <c r="C10" s="222"/>
      <c r="D10" s="20"/>
      <c r="E10" s="20"/>
      <c r="F10" s="20"/>
      <c r="G10" s="20"/>
      <c r="H10" s="20"/>
      <c r="I10" s="20"/>
    </row>
    <row r="11" spans="1:64" hidden="1" x14ac:dyDescent="0.25">
      <c r="A11" s="66"/>
      <c r="B11" s="67"/>
      <c r="C11" s="68"/>
      <c r="D11" s="20"/>
      <c r="E11" s="20"/>
      <c r="F11" s="20"/>
      <c r="G11" s="20"/>
      <c r="H11" s="20"/>
      <c r="I11" s="20"/>
    </row>
    <row r="12" spans="1:64" hidden="1" x14ac:dyDescent="0.25">
      <c r="A12" s="220"/>
      <c r="B12" s="221"/>
      <c r="C12" s="222"/>
      <c r="D12" s="20"/>
      <c r="E12" s="20"/>
      <c r="F12" s="20"/>
      <c r="G12" s="20"/>
      <c r="H12" s="20"/>
      <c r="I12" s="20"/>
    </row>
    <row r="13" spans="1:64" x14ac:dyDescent="0.25">
      <c r="A13" s="66" t="str">
        <f>('Revenue costs'!A3)</f>
        <v>Revenue (running) costs - My Medical Record</v>
      </c>
      <c r="B13" s="67"/>
      <c r="C13" s="68"/>
      <c r="D13" s="135">
        <f>SUM('Revenue costs'!E11)</f>
        <v>0</v>
      </c>
      <c r="E13" s="135">
        <f>SUM('Revenue costs'!G11)</f>
        <v>38100</v>
      </c>
      <c r="F13" s="135">
        <f>SUM('Revenue costs'!I11)</f>
        <v>39900</v>
      </c>
      <c r="G13" s="135">
        <f>SUM('Revenue costs'!K11)</f>
        <v>43700</v>
      </c>
      <c r="H13" s="135">
        <f>SUM('Revenue costs'!M11)</f>
        <v>48500</v>
      </c>
      <c r="I13" s="135">
        <f>SUM('Revenue costs'!O11)</f>
        <v>53150</v>
      </c>
    </row>
    <row r="14" spans="1:64" x14ac:dyDescent="0.25">
      <c r="A14" s="202" t="s">
        <v>3</v>
      </c>
      <c r="B14" s="203"/>
      <c r="C14" s="204"/>
      <c r="D14" s="135"/>
      <c r="E14" s="135">
        <f>E40</f>
        <v>1000</v>
      </c>
      <c r="F14" s="135">
        <f t="shared" ref="F14:I14" si="2">F40</f>
        <v>1000</v>
      </c>
      <c r="G14" s="135">
        <f t="shared" si="2"/>
        <v>1000</v>
      </c>
      <c r="H14" s="135">
        <f t="shared" si="2"/>
        <v>1000</v>
      </c>
      <c r="I14" s="135">
        <f t="shared" si="2"/>
        <v>1000</v>
      </c>
    </row>
    <row r="15" spans="1:64" x14ac:dyDescent="0.25">
      <c r="A15" s="202" t="s">
        <v>4</v>
      </c>
      <c r="B15" s="203"/>
      <c r="C15" s="204"/>
      <c r="D15" s="134">
        <f>D44</f>
        <v>87.500000000000014</v>
      </c>
      <c r="E15" s="134">
        <f t="shared" ref="E15:I15" si="3">E44</f>
        <v>157.50000000000003</v>
      </c>
      <c r="F15" s="134">
        <f t="shared" si="3"/>
        <v>122.50000000000001</v>
      </c>
      <c r="G15" s="134">
        <f t="shared" si="3"/>
        <v>87.500000000000014</v>
      </c>
      <c r="H15" s="134">
        <f t="shared" si="3"/>
        <v>52.500000000000007</v>
      </c>
      <c r="I15" s="134">
        <f t="shared" si="3"/>
        <v>17.5</v>
      </c>
    </row>
    <row r="16" spans="1:64" x14ac:dyDescent="0.25">
      <c r="A16" s="217" t="s">
        <v>7</v>
      </c>
      <c r="B16" s="218"/>
      <c r="C16" s="219"/>
      <c r="D16" s="97">
        <f t="shared" ref="D16:I16" si="4">SUM(D10:D15)</f>
        <v>87.500000000000014</v>
      </c>
      <c r="E16" s="97">
        <f t="shared" si="4"/>
        <v>39257.5</v>
      </c>
      <c r="F16" s="97">
        <f t="shared" si="4"/>
        <v>41022.5</v>
      </c>
      <c r="G16" s="97">
        <f t="shared" si="4"/>
        <v>44787.5</v>
      </c>
      <c r="H16" s="97">
        <f t="shared" si="4"/>
        <v>49552.5</v>
      </c>
      <c r="I16" s="97">
        <f t="shared" si="4"/>
        <v>54167.5</v>
      </c>
      <c r="K16" s="178" t="s">
        <v>119</v>
      </c>
      <c r="L16" s="178"/>
      <c r="M16" s="179" t="s">
        <v>120</v>
      </c>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c r="BI16" s="178"/>
      <c r="BJ16" s="178"/>
      <c r="BK16" s="178"/>
      <c r="BL16" s="178"/>
    </row>
    <row r="17" spans="1:64" x14ac:dyDescent="0.25">
      <c r="A17" s="211" t="s">
        <v>9</v>
      </c>
      <c r="B17" s="212"/>
      <c r="C17" s="213"/>
      <c r="D17" s="111"/>
      <c r="E17" s="111"/>
      <c r="F17" s="111"/>
      <c r="G17" s="111"/>
      <c r="H17" s="111"/>
      <c r="I17" s="110"/>
      <c r="K17" s="180"/>
      <c r="L17" s="180"/>
      <c r="M17" s="181" t="s">
        <v>121</v>
      </c>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c r="BI17" s="178"/>
      <c r="BJ17" s="178"/>
      <c r="BK17" s="178"/>
      <c r="BL17" s="178"/>
    </row>
    <row r="18" spans="1:64" x14ac:dyDescent="0.25">
      <c r="A18" s="66" t="str">
        <f>('cash savings summary'!A3)</f>
        <v>Cash releasing savings - My Medical Record</v>
      </c>
      <c r="B18" s="67"/>
      <c r="C18" s="68"/>
      <c r="D18" s="136">
        <f>-SUM('cash savings summary'!B12)</f>
        <v>-938</v>
      </c>
      <c r="E18" s="136">
        <f>-SUM('cash savings summary'!C12)</f>
        <v>-3752</v>
      </c>
      <c r="F18" s="136">
        <f>-SUM('cash savings summary'!D12)</f>
        <v>-10318</v>
      </c>
      <c r="G18" s="136">
        <f>-SUM('cash savings summary'!E12)</f>
        <v>-15477.000000000002</v>
      </c>
      <c r="H18" s="136">
        <f>-SUM('cash savings summary'!F12)</f>
        <v>-27671</v>
      </c>
      <c r="I18" s="136">
        <f>-SUM('cash savings summary'!G12)</f>
        <v>-40334</v>
      </c>
      <c r="K18" s="191" t="s">
        <v>155</v>
      </c>
      <c r="L18" s="191"/>
      <c r="M18" s="191"/>
    </row>
    <row r="19" spans="1:64" x14ac:dyDescent="0.25">
      <c r="A19" s="217" t="s">
        <v>8</v>
      </c>
      <c r="B19" s="218"/>
      <c r="C19" s="219"/>
      <c r="D19" s="138">
        <f t="shared" ref="D19:I19" si="5">SUM(D18:D18)</f>
        <v>-938</v>
      </c>
      <c r="E19" s="138">
        <f t="shared" si="5"/>
        <v>-3752</v>
      </c>
      <c r="F19" s="138">
        <f t="shared" si="5"/>
        <v>-10318</v>
      </c>
      <c r="G19" s="138">
        <f t="shared" si="5"/>
        <v>-15477.000000000002</v>
      </c>
      <c r="H19" s="138">
        <f t="shared" si="5"/>
        <v>-27671</v>
      </c>
      <c r="I19" s="138">
        <f t="shared" si="5"/>
        <v>-40334</v>
      </c>
    </row>
    <row r="20" spans="1:64" s="11" customFormat="1" x14ac:dyDescent="0.25">
      <c r="A20" s="63" t="s">
        <v>13</v>
      </c>
      <c r="B20" s="64"/>
      <c r="C20" s="65"/>
      <c r="D20" s="97">
        <f t="shared" ref="D20:I20" si="6">D8+D16+D19</f>
        <v>54149.5</v>
      </c>
      <c r="E20" s="97">
        <f t="shared" si="6"/>
        <v>35505.5</v>
      </c>
      <c r="F20" s="97">
        <f t="shared" si="6"/>
        <v>30704.5</v>
      </c>
      <c r="G20" s="97">
        <f t="shared" si="6"/>
        <v>29310.5</v>
      </c>
      <c r="H20" s="97">
        <f t="shared" si="6"/>
        <v>21881.5</v>
      </c>
      <c r="I20" s="97">
        <f t="shared" si="6"/>
        <v>13833.5</v>
      </c>
      <c r="J20" s="12" t="s">
        <v>161</v>
      </c>
      <c r="K20" s="92" t="s">
        <v>122</v>
      </c>
      <c r="L20" s="92"/>
      <c r="M20" s="92"/>
      <c r="N20" s="92"/>
      <c r="O20" s="9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row>
    <row r="21" spans="1:64" s="11" customFormat="1" x14ac:dyDescent="0.25">
      <c r="A21" s="70" t="s">
        <v>118</v>
      </c>
      <c r="B21" s="71"/>
      <c r="C21" s="72"/>
      <c r="D21" s="158">
        <f t="shared" ref="D21:I21" si="7">D20+D5+D14</f>
        <v>59149.5</v>
      </c>
      <c r="E21" s="158">
        <f t="shared" si="7"/>
        <v>36505.5</v>
      </c>
      <c r="F21" s="158">
        <f t="shared" si="7"/>
        <v>31704.5</v>
      </c>
      <c r="G21" s="158">
        <f t="shared" si="7"/>
        <v>30310.5</v>
      </c>
      <c r="H21" s="158">
        <f t="shared" si="7"/>
        <v>22881.5</v>
      </c>
      <c r="I21" s="158">
        <f t="shared" si="7"/>
        <v>14833.5</v>
      </c>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row>
    <row r="22" spans="1:64" s="11" customFormat="1" x14ac:dyDescent="0.25">
      <c r="A22" s="66" t="s">
        <v>14</v>
      </c>
      <c r="B22" s="9"/>
      <c r="C22" s="10"/>
      <c r="D22" s="139">
        <v>1</v>
      </c>
      <c r="E22" s="139">
        <v>0.96619999999999995</v>
      </c>
      <c r="F22" s="139">
        <v>0.9335</v>
      </c>
      <c r="G22" s="139">
        <v>0.90190000000000003</v>
      </c>
      <c r="H22" s="139">
        <v>0.87139999999999995</v>
      </c>
      <c r="I22" s="139">
        <v>0.84199999999999997</v>
      </c>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row>
    <row r="23" spans="1:64" s="11" customFormat="1" ht="15.75" thickBot="1" x14ac:dyDescent="0.3">
      <c r="A23" s="13" t="s">
        <v>11</v>
      </c>
      <c r="B23" s="14"/>
      <c r="C23" s="15"/>
      <c r="D23" s="136">
        <f t="shared" ref="D23:I23" si="8">D22*D21</f>
        <v>59149.5</v>
      </c>
      <c r="E23" s="134">
        <f t="shared" si="8"/>
        <v>35271.614099999999</v>
      </c>
      <c r="F23" s="134">
        <f t="shared" si="8"/>
        <v>29596.150750000001</v>
      </c>
      <c r="G23" s="134">
        <f t="shared" si="8"/>
        <v>27337.039950000002</v>
      </c>
      <c r="H23" s="134">
        <f t="shared" si="8"/>
        <v>19938.9391</v>
      </c>
      <c r="I23" s="134">
        <f t="shared" si="8"/>
        <v>12489.806999999999</v>
      </c>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row>
    <row r="24" spans="1:64" s="11" customFormat="1" ht="15.75" thickBot="1" x14ac:dyDescent="0.3">
      <c r="A24" s="140" t="s">
        <v>12</v>
      </c>
      <c r="B24" s="141"/>
      <c r="C24" s="142"/>
      <c r="D24" s="159">
        <f>SUM(D23:I23)</f>
        <v>183783.0509</v>
      </c>
      <c r="E24" s="24"/>
      <c r="F24" s="25"/>
      <c r="G24" s="25"/>
      <c r="H24" s="25"/>
      <c r="I24" s="25"/>
      <c r="J24" s="12" t="s">
        <v>162</v>
      </c>
      <c r="K24" s="92" t="s">
        <v>163</v>
      </c>
      <c r="L24" s="9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row>
    <row r="25" spans="1:64" s="11" customFormat="1" x14ac:dyDescent="0.25">
      <c r="A25" s="16"/>
      <c r="B25" s="17"/>
      <c r="C25" s="18"/>
      <c r="D25" s="26"/>
      <c r="E25" s="25"/>
      <c r="F25" s="25"/>
      <c r="G25" s="25"/>
      <c r="H25" s="25"/>
      <c r="I25" s="25"/>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row>
    <row r="26" spans="1:64" s="11" customFormat="1" x14ac:dyDescent="0.25">
      <c r="A26" s="112" t="s">
        <v>45</v>
      </c>
      <c r="B26" s="113"/>
      <c r="C26" s="114"/>
      <c r="D26" s="115"/>
      <c r="E26" s="116"/>
      <c r="F26" s="116"/>
      <c r="G26" s="116"/>
      <c r="H26" s="116"/>
      <c r="I26" s="116"/>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64" s="11" customFormat="1" x14ac:dyDescent="0.25">
      <c r="A27" s="16" t="s">
        <v>91</v>
      </c>
      <c r="B27" s="17"/>
      <c r="C27" s="18"/>
      <c r="D27" s="152">
        <f>-SUM('Income generation summary'!B6)</f>
        <v>-8000</v>
      </c>
      <c r="E27" s="152">
        <f>-SUM('Income generation summary'!C6)</f>
        <v>-10100</v>
      </c>
      <c r="F27" s="152">
        <f>-SUM('Income generation summary'!D6)</f>
        <v>-23760</v>
      </c>
      <c r="G27" s="152">
        <f>-SUM('Income generation summary'!E6)</f>
        <v>-27610</v>
      </c>
      <c r="H27" s="152">
        <f>-SUM('Income generation summary'!F6)</f>
        <v>-48025</v>
      </c>
      <c r="I27" s="152">
        <f>-SUM('Income generation summary'!G6)</f>
        <v>-57475</v>
      </c>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row>
    <row r="28" spans="1:64" x14ac:dyDescent="0.25">
      <c r="A28" s="117" t="s">
        <v>10</v>
      </c>
      <c r="B28" s="118"/>
      <c r="C28" s="119"/>
      <c r="D28" s="116"/>
      <c r="E28" s="116"/>
      <c r="F28" s="116"/>
      <c r="G28" s="116"/>
      <c r="H28" s="116"/>
      <c r="I28" s="116"/>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64" hidden="1" x14ac:dyDescent="0.25">
      <c r="A29" s="202"/>
      <c r="B29" s="203"/>
      <c r="C29" s="204"/>
      <c r="D29" s="27"/>
      <c r="E29" s="27"/>
      <c r="F29" s="27"/>
      <c r="G29" s="27"/>
      <c r="H29" s="27"/>
      <c r="I29" s="27"/>
    </row>
    <row r="30" spans="1:64" x14ac:dyDescent="0.25">
      <c r="A30" s="202" t="s">
        <v>22</v>
      </c>
      <c r="B30" s="203"/>
      <c r="C30" s="204"/>
      <c r="D30" s="153">
        <f>-SUM('non cash savings summary'!C9)</f>
        <v>-88080</v>
      </c>
      <c r="E30" s="153">
        <f>-SUM('non cash savings summary'!D9)</f>
        <v>-142200</v>
      </c>
      <c r="F30" s="153">
        <f>-SUM('non cash savings summary'!E9)</f>
        <v>-196260</v>
      </c>
      <c r="G30" s="153">
        <f>-SUM('non cash savings summary'!F9)</f>
        <v>-228655</v>
      </c>
      <c r="H30" s="153">
        <f>-SUM('non cash savings summary'!G9)</f>
        <v>-328260</v>
      </c>
      <c r="I30" s="153">
        <f>-SUM('non cash savings summary'!H9)</f>
        <v>-389470</v>
      </c>
    </row>
    <row r="31" spans="1:64" ht="25.5" x14ac:dyDescent="0.25">
      <c r="A31" s="63" t="s">
        <v>78</v>
      </c>
      <c r="B31" s="64"/>
      <c r="C31" s="65"/>
      <c r="D31" s="158">
        <f>SUM(D27+D30)</f>
        <v>-96080</v>
      </c>
      <c r="E31" s="158">
        <f t="shared" ref="E31:I31" si="9">SUM(E27+E30)</f>
        <v>-152300</v>
      </c>
      <c r="F31" s="158">
        <f t="shared" si="9"/>
        <v>-220020</v>
      </c>
      <c r="G31" s="158">
        <f t="shared" si="9"/>
        <v>-256265</v>
      </c>
      <c r="H31" s="158">
        <f t="shared" si="9"/>
        <v>-376285</v>
      </c>
      <c r="I31" s="158">
        <f t="shared" si="9"/>
        <v>-446945</v>
      </c>
    </row>
    <row r="32" spans="1:64" x14ac:dyDescent="0.25">
      <c r="A32" s="223" t="s">
        <v>79</v>
      </c>
      <c r="B32" s="224"/>
      <c r="C32" s="225"/>
      <c r="D32" s="158">
        <f>D21+D31</f>
        <v>-36930.5</v>
      </c>
      <c r="E32" s="158">
        <f t="shared" ref="E32:I32" si="10">E21+E31</f>
        <v>-115794.5</v>
      </c>
      <c r="F32" s="158">
        <f t="shared" si="10"/>
        <v>-188315.5</v>
      </c>
      <c r="G32" s="158">
        <f t="shared" si="10"/>
        <v>-225954.5</v>
      </c>
      <c r="H32" s="158">
        <f t="shared" si="10"/>
        <v>-353403.5</v>
      </c>
      <c r="I32" s="158">
        <f t="shared" si="10"/>
        <v>-432111.5</v>
      </c>
    </row>
    <row r="33" spans="1:21" x14ac:dyDescent="0.25">
      <c r="A33" s="66" t="s">
        <v>14</v>
      </c>
      <c r="B33" s="9"/>
      <c r="C33" s="10"/>
      <c r="D33" s="21">
        <v>1</v>
      </c>
      <c r="E33" s="21">
        <v>0.96619999999999995</v>
      </c>
      <c r="F33" s="21">
        <v>0.9335</v>
      </c>
      <c r="G33" s="21">
        <v>0.90190000000000003</v>
      </c>
      <c r="H33" s="21">
        <v>0.87139999999999995</v>
      </c>
      <c r="I33" s="21">
        <v>0.84199999999999997</v>
      </c>
    </row>
    <row r="34" spans="1:21" ht="15.75" thickBot="1" x14ac:dyDescent="0.3">
      <c r="A34" s="13" t="s">
        <v>11</v>
      </c>
      <c r="B34" s="14"/>
      <c r="C34" s="15"/>
      <c r="D34" s="22">
        <f>D33*D32</f>
        <v>-36930.5</v>
      </c>
      <c r="E34" s="23">
        <f t="shared" ref="E34:I34" si="11">E33*E32</f>
        <v>-111880.64589999999</v>
      </c>
      <c r="F34" s="23">
        <f t="shared" si="11"/>
        <v>-175792.51925000001</v>
      </c>
      <c r="G34" s="23">
        <f t="shared" si="11"/>
        <v>-203788.36355000001</v>
      </c>
      <c r="H34" s="23">
        <f t="shared" si="11"/>
        <v>-307955.80989999999</v>
      </c>
      <c r="I34" s="23">
        <f t="shared" si="11"/>
        <v>-363837.88299999997</v>
      </c>
    </row>
    <row r="35" spans="1:21" ht="15.75" thickBot="1" x14ac:dyDescent="0.3">
      <c r="A35" s="140" t="s">
        <v>92</v>
      </c>
      <c r="B35" s="141"/>
      <c r="C35" s="142"/>
      <c r="D35" s="159">
        <f>SUM(D34:I34)</f>
        <v>-1200185.7216</v>
      </c>
      <c r="E35" s="24"/>
      <c r="F35" s="25"/>
      <c r="G35" s="25"/>
      <c r="H35" s="25"/>
      <c r="I35" s="25"/>
      <c r="J35" s="7" t="s">
        <v>161</v>
      </c>
      <c r="K35" s="92" t="s">
        <v>164</v>
      </c>
      <c r="L35" s="92"/>
      <c r="M35" s="92"/>
      <c r="N35" s="92"/>
      <c r="O35" s="92"/>
      <c r="P35" s="92"/>
      <c r="Q35" s="92"/>
      <c r="R35" s="92"/>
      <c r="S35" s="92"/>
      <c r="T35" s="92"/>
      <c r="U35" s="92"/>
    </row>
    <row r="36" spans="1:21" s="149" customFormat="1" x14ac:dyDescent="0.25">
      <c r="A36" s="147"/>
      <c r="B36" s="147"/>
      <c r="C36" s="147"/>
      <c r="D36" s="148"/>
      <c r="E36" s="148"/>
      <c r="F36" s="148"/>
      <c r="G36" s="148"/>
      <c r="H36" s="148"/>
      <c r="I36" s="148"/>
    </row>
    <row r="37" spans="1:21" s="149" customFormat="1" x14ac:dyDescent="0.25">
      <c r="A37" s="147"/>
      <c r="B37" s="147"/>
      <c r="C37" s="147"/>
      <c r="D37" s="148"/>
      <c r="E37" s="148"/>
      <c r="F37" s="148"/>
      <c r="G37" s="148"/>
      <c r="H37" s="148"/>
      <c r="I37" s="148"/>
    </row>
    <row r="38" spans="1:21" x14ac:dyDescent="0.25">
      <c r="A38" s="5"/>
      <c r="B38" s="5"/>
      <c r="C38" s="5"/>
      <c r="D38" s="6"/>
      <c r="E38" s="6"/>
      <c r="F38" s="6"/>
      <c r="G38" s="6"/>
      <c r="H38" s="6"/>
      <c r="I38" s="6"/>
    </row>
    <row r="39" spans="1:21" x14ac:dyDescent="0.25">
      <c r="C39" s="28" t="s">
        <v>16</v>
      </c>
      <c r="D39" s="143">
        <f>0</f>
        <v>0</v>
      </c>
      <c r="E39" s="144">
        <f>D42</f>
        <v>5000</v>
      </c>
      <c r="F39" s="144">
        <f t="shared" ref="F39:I39" si="12">E42</f>
        <v>4000</v>
      </c>
      <c r="G39" s="144">
        <f t="shared" si="12"/>
        <v>3000</v>
      </c>
      <c r="H39" s="144">
        <f t="shared" si="12"/>
        <v>2000</v>
      </c>
      <c r="I39" s="144">
        <f t="shared" si="12"/>
        <v>1000</v>
      </c>
    </row>
    <row r="40" spans="1:21" x14ac:dyDescent="0.25">
      <c r="C40" s="28" t="s">
        <v>3</v>
      </c>
      <c r="D40" s="143">
        <v>0</v>
      </c>
      <c r="E40" s="145">
        <f>D5*0.2</f>
        <v>1000</v>
      </c>
      <c r="F40" s="145">
        <f>E40+E5*0.2</f>
        <v>1000</v>
      </c>
      <c r="G40" s="145">
        <f>F40+F5*0.2</f>
        <v>1000</v>
      </c>
      <c r="H40" s="145">
        <f>G40+G5*0.2</f>
        <v>1000</v>
      </c>
      <c r="I40" s="145">
        <f>H40+H5*0.2</f>
        <v>1000</v>
      </c>
    </row>
    <row r="41" spans="1:21" x14ac:dyDescent="0.25">
      <c r="C41" s="28" t="s">
        <v>18</v>
      </c>
      <c r="D41" s="144">
        <f t="shared" ref="D41:I41" si="13">D5</f>
        <v>5000</v>
      </c>
      <c r="E41" s="144">
        <f t="shared" si="13"/>
        <v>0</v>
      </c>
      <c r="F41" s="144">
        <f t="shared" si="13"/>
        <v>0</v>
      </c>
      <c r="G41" s="144">
        <f t="shared" si="13"/>
        <v>0</v>
      </c>
      <c r="H41" s="144">
        <f t="shared" si="13"/>
        <v>0</v>
      </c>
      <c r="I41" s="144">
        <f t="shared" si="13"/>
        <v>0</v>
      </c>
    </row>
    <row r="42" spans="1:21" x14ac:dyDescent="0.25">
      <c r="C42" s="28" t="s">
        <v>17</v>
      </c>
      <c r="D42" s="144">
        <f>D39-D40+D41</f>
        <v>5000</v>
      </c>
      <c r="E42" s="144">
        <f t="shared" ref="E42:I42" si="14">E39-E40+E41</f>
        <v>4000</v>
      </c>
      <c r="F42" s="144">
        <f t="shared" si="14"/>
        <v>3000</v>
      </c>
      <c r="G42" s="144">
        <f t="shared" si="14"/>
        <v>2000</v>
      </c>
      <c r="H42" s="144">
        <f t="shared" si="14"/>
        <v>1000</v>
      </c>
      <c r="I42" s="144">
        <f t="shared" si="14"/>
        <v>0</v>
      </c>
    </row>
    <row r="43" spans="1:21" x14ac:dyDescent="0.25">
      <c r="C43" s="28"/>
      <c r="D43" s="28"/>
      <c r="E43" s="28"/>
      <c r="F43" s="28"/>
      <c r="G43" s="28"/>
      <c r="H43" s="28"/>
      <c r="I43" s="28"/>
    </row>
    <row r="44" spans="1:21" x14ac:dyDescent="0.25">
      <c r="C44" s="28" t="s">
        <v>19</v>
      </c>
      <c r="D44" s="146">
        <f>((D39+D42)/2)*0.035</f>
        <v>87.500000000000014</v>
      </c>
      <c r="E44" s="146">
        <f t="shared" ref="E44:I44" si="15">((E39+E42)/2)*0.035</f>
        <v>157.50000000000003</v>
      </c>
      <c r="F44" s="146">
        <f t="shared" si="15"/>
        <v>122.50000000000001</v>
      </c>
      <c r="G44" s="146">
        <f t="shared" si="15"/>
        <v>87.500000000000014</v>
      </c>
      <c r="H44" s="146">
        <f t="shared" si="15"/>
        <v>52.500000000000007</v>
      </c>
      <c r="I44" s="146">
        <f t="shared" si="15"/>
        <v>17.5</v>
      </c>
    </row>
  </sheetData>
  <mergeCells count="16">
    <mergeCell ref="A32:C32"/>
    <mergeCell ref="A16:C16"/>
    <mergeCell ref="A17:C17"/>
    <mergeCell ref="A19:C19"/>
    <mergeCell ref="A29:C29"/>
    <mergeCell ref="A30:C30"/>
    <mergeCell ref="A15:C15"/>
    <mergeCell ref="A1:C1"/>
    <mergeCell ref="A2:C2"/>
    <mergeCell ref="A6:C6"/>
    <mergeCell ref="A7:C7"/>
    <mergeCell ref="A8:C8"/>
    <mergeCell ref="A9:C9"/>
    <mergeCell ref="A10:C10"/>
    <mergeCell ref="A12:C12"/>
    <mergeCell ref="A14:C14"/>
  </mergeCells>
  <pageMargins left="0.70866141732283472" right="0.70866141732283472" top="0.74803149606299213" bottom="0.74803149606299213" header="0.31496062992125984" footer="0.31496062992125984"/>
  <pageSetup paperSize="9" scale="81" fitToHeight="4" orientation="landscape" r:id="rId1"/>
  <headerFooter>
    <oddFooter>&amp;Z&amp;F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2"/>
  <sheetViews>
    <sheetView workbookViewId="0">
      <selection activeCell="B9" sqref="B9"/>
    </sheetView>
  </sheetViews>
  <sheetFormatPr defaultRowHeight="15" x14ac:dyDescent="0.25"/>
  <cols>
    <col min="1" max="1" width="47.140625" customWidth="1"/>
    <col min="2" max="2" width="21.28515625" customWidth="1"/>
    <col min="3" max="3" width="17.7109375" customWidth="1"/>
    <col min="4" max="4" width="16" customWidth="1"/>
    <col min="5" max="5" width="16.5703125" customWidth="1"/>
    <col min="6" max="6" width="16.140625" customWidth="1"/>
    <col min="7" max="7" width="15.5703125" customWidth="1"/>
    <col min="8" max="8" width="13.7109375" customWidth="1"/>
    <col min="9" max="9" width="13.7109375" style="7" customWidth="1"/>
    <col min="10" max="10" width="13.28515625" style="59" bestFit="1" customWidth="1"/>
  </cols>
  <sheetData>
    <row r="1" spans="1:17" s="7" customFormat="1" ht="21" x14ac:dyDescent="0.35">
      <c r="A1" s="121" t="s">
        <v>81</v>
      </c>
      <c r="H1" s="33"/>
      <c r="I1" s="81"/>
      <c r="J1" s="58"/>
    </row>
    <row r="2" spans="1:17" s="7" customFormat="1" ht="15.75" x14ac:dyDescent="0.25">
      <c r="A2" s="161" t="s">
        <v>93</v>
      </c>
      <c r="B2" s="162"/>
      <c r="C2" s="162"/>
      <c r="D2" s="162"/>
      <c r="E2" s="162"/>
      <c r="F2" s="162"/>
      <c r="G2" s="162"/>
      <c r="H2" s="163"/>
      <c r="I2" s="81"/>
      <c r="J2" s="58"/>
    </row>
    <row r="3" spans="1:17" ht="46.5" x14ac:dyDescent="0.25">
      <c r="A3" s="50" t="s">
        <v>51</v>
      </c>
      <c r="B3" s="76" t="s">
        <v>23</v>
      </c>
      <c r="C3" s="76" t="s">
        <v>25</v>
      </c>
      <c r="D3" s="76" t="s">
        <v>24</v>
      </c>
      <c r="E3" s="76" t="s">
        <v>26</v>
      </c>
      <c r="F3" s="76" t="s">
        <v>27</v>
      </c>
      <c r="G3" s="77" t="s">
        <v>28</v>
      </c>
      <c r="H3" s="74" t="s">
        <v>49</v>
      </c>
      <c r="I3" s="82"/>
    </row>
    <row r="4" spans="1:17" s="11" customFormat="1" ht="27" customHeight="1" x14ac:dyDescent="0.25">
      <c r="A4" s="61" t="s">
        <v>42</v>
      </c>
      <c r="B4" s="62"/>
      <c r="C4" s="62"/>
      <c r="D4" s="62"/>
      <c r="E4" s="62"/>
      <c r="F4" s="62"/>
      <c r="G4" s="73"/>
      <c r="H4" s="62"/>
      <c r="I4" s="83"/>
      <c r="J4" s="60"/>
    </row>
    <row r="5" spans="1:17" ht="30" x14ac:dyDescent="0.25">
      <c r="A5" s="98" t="s">
        <v>52</v>
      </c>
      <c r="B5" s="99">
        <v>0</v>
      </c>
      <c r="C5" s="99">
        <v>0</v>
      </c>
      <c r="D5" s="99">
        <v>0</v>
      </c>
      <c r="E5" s="99">
        <v>0</v>
      </c>
      <c r="F5" s="99">
        <v>0</v>
      </c>
      <c r="G5" s="100">
        <v>0</v>
      </c>
      <c r="H5" s="75">
        <f>SUM(B5:G5)</f>
        <v>0</v>
      </c>
      <c r="I5" s="84"/>
    </row>
    <row r="6" spans="1:17" s="7" customFormat="1" x14ac:dyDescent="0.25">
      <c r="A6" s="61" t="s">
        <v>43</v>
      </c>
      <c r="B6" s="62"/>
      <c r="C6" s="62"/>
      <c r="D6" s="62"/>
      <c r="E6" s="62"/>
      <c r="F6" s="62"/>
      <c r="G6" s="73"/>
      <c r="H6" s="62"/>
      <c r="I6" s="83"/>
      <c r="J6" s="59"/>
    </row>
    <row r="7" spans="1:17" s="7" customFormat="1" x14ac:dyDescent="0.25">
      <c r="A7" s="98" t="s">
        <v>53</v>
      </c>
      <c r="B7" s="99">
        <v>0</v>
      </c>
      <c r="C7" s="99">
        <v>0</v>
      </c>
      <c r="D7" s="99">
        <v>0</v>
      </c>
      <c r="E7" s="99">
        <v>0</v>
      </c>
      <c r="F7" s="99">
        <v>0</v>
      </c>
      <c r="G7" s="100">
        <v>0</v>
      </c>
      <c r="H7" s="75">
        <f>SUM(B7:G7)</f>
        <v>0</v>
      </c>
      <c r="I7" s="84"/>
      <c r="J7" s="168" t="s">
        <v>101</v>
      </c>
      <c r="K7" s="168"/>
      <c r="L7" s="168"/>
      <c r="M7" s="168"/>
      <c r="N7" s="168"/>
      <c r="O7" s="168"/>
      <c r="P7" s="168"/>
      <c r="Q7" s="168"/>
    </row>
    <row r="8" spans="1:17" s="7" customFormat="1" x14ac:dyDescent="0.25">
      <c r="A8" s="61" t="s">
        <v>44</v>
      </c>
      <c r="B8" s="62"/>
      <c r="C8" s="62"/>
      <c r="D8" s="62"/>
      <c r="E8" s="62"/>
      <c r="F8" s="62"/>
      <c r="G8" s="73"/>
      <c r="H8" s="62"/>
      <c r="I8" s="83"/>
      <c r="J8" s="59"/>
    </row>
    <row r="9" spans="1:17" s="7" customFormat="1" ht="75" x14ac:dyDescent="0.25">
      <c r="A9" s="98" t="s">
        <v>125</v>
      </c>
      <c r="B9" s="155">
        <f>SUM('No of users - Predicted'!B11)*B22</f>
        <v>938</v>
      </c>
      <c r="C9" s="155">
        <f>SUM('No of users - Predicted'!C11)*B22</f>
        <v>3752</v>
      </c>
      <c r="D9" s="155">
        <f>SUM('No of users - Predicted'!D11)*B22</f>
        <v>10318</v>
      </c>
      <c r="E9" s="155">
        <f>SUM('No of users - Predicted'!E11)*B22</f>
        <v>15477.000000000002</v>
      </c>
      <c r="F9" s="155">
        <f>SUM('No of users - Predicted'!F11)*B22</f>
        <v>27671</v>
      </c>
      <c r="G9" s="156">
        <f>SUM('No of users - Predicted'!G11)*B22</f>
        <v>40334</v>
      </c>
      <c r="H9" s="75">
        <f>SUM(B9:G9)</f>
        <v>98490</v>
      </c>
      <c r="I9" s="84"/>
      <c r="J9" s="182" t="s">
        <v>126</v>
      </c>
      <c r="K9" s="92"/>
      <c r="L9" s="92"/>
      <c r="M9" s="92"/>
      <c r="N9" s="92"/>
      <c r="O9" s="92"/>
      <c r="P9" s="92"/>
      <c r="Q9" s="92"/>
    </row>
    <row r="10" spans="1:17" s="7" customFormat="1" x14ac:dyDescent="0.25">
      <c r="I10" s="83"/>
      <c r="J10" s="59"/>
    </row>
    <row r="11" spans="1:17" s="7" customFormat="1" x14ac:dyDescent="0.25">
      <c r="I11" s="84"/>
      <c r="J11" s="59"/>
    </row>
    <row r="12" spans="1:17" x14ac:dyDescent="0.25">
      <c r="A12" s="38" t="s">
        <v>54</v>
      </c>
      <c r="B12" s="157">
        <f t="shared" ref="B12:H12" si="0">SUM(B5:B9)</f>
        <v>938</v>
      </c>
      <c r="C12" s="157">
        <f t="shared" si="0"/>
        <v>3752</v>
      </c>
      <c r="D12" s="157">
        <f t="shared" si="0"/>
        <v>10318</v>
      </c>
      <c r="E12" s="157">
        <f t="shared" si="0"/>
        <v>15477.000000000002</v>
      </c>
      <c r="F12" s="157">
        <f t="shared" si="0"/>
        <v>27671</v>
      </c>
      <c r="G12" s="157">
        <f t="shared" si="0"/>
        <v>40334</v>
      </c>
      <c r="H12" s="78">
        <f t="shared" si="0"/>
        <v>98490</v>
      </c>
      <c r="I12" s="85"/>
    </row>
    <row r="13" spans="1:17" x14ac:dyDescent="0.25">
      <c r="A13" s="86"/>
      <c r="B13" s="85"/>
      <c r="C13" s="85"/>
      <c r="D13" s="85"/>
      <c r="E13" s="85"/>
      <c r="F13" s="85"/>
      <c r="G13" s="85"/>
      <c r="H13" s="85"/>
      <c r="I13" s="85"/>
    </row>
    <row r="14" spans="1:17" x14ac:dyDescent="0.25">
      <c r="A14" s="122" t="s">
        <v>55</v>
      </c>
      <c r="I14" s="11"/>
    </row>
    <row r="15" spans="1:17" x14ac:dyDescent="0.25">
      <c r="A15" s="87" t="s">
        <v>56</v>
      </c>
      <c r="I15" s="11"/>
    </row>
    <row r="16" spans="1:17" x14ac:dyDescent="0.25">
      <c r="A16" s="33" t="s">
        <v>62</v>
      </c>
      <c r="B16" s="101">
        <v>0.01</v>
      </c>
      <c r="I16" s="11"/>
    </row>
    <row r="17" spans="1:10" s="7" customFormat="1" x14ac:dyDescent="0.25">
      <c r="A17" s="33" t="s">
        <v>60</v>
      </c>
      <c r="B17" s="101">
        <v>0.01</v>
      </c>
      <c r="I17" s="11"/>
      <c r="J17" s="59"/>
    </row>
    <row r="18" spans="1:10" x14ac:dyDescent="0.25">
      <c r="A18" s="33" t="s">
        <v>57</v>
      </c>
      <c r="B18" s="101">
        <v>0.01</v>
      </c>
      <c r="I18" s="11"/>
    </row>
    <row r="19" spans="1:10" ht="60" x14ac:dyDescent="0.25">
      <c r="A19" s="33" t="s">
        <v>58</v>
      </c>
      <c r="B19" s="154">
        <f>SUM(E19/G19)</f>
        <v>0.09</v>
      </c>
      <c r="D19" s="36" t="s">
        <v>90</v>
      </c>
      <c r="E19" s="102">
        <v>9</v>
      </c>
      <c r="F19" s="36" t="s">
        <v>65</v>
      </c>
      <c r="G19" s="103">
        <v>100</v>
      </c>
    </row>
    <row r="20" spans="1:10" x14ac:dyDescent="0.25">
      <c r="A20" s="33" t="s">
        <v>59</v>
      </c>
      <c r="B20" s="101">
        <v>0.55000000000000004</v>
      </c>
    </row>
    <row r="21" spans="1:10" ht="30" x14ac:dyDescent="0.25">
      <c r="A21" s="36" t="s">
        <v>61</v>
      </c>
      <c r="B21" s="104">
        <v>2</v>
      </c>
    </row>
    <row r="22" spans="1:10" x14ac:dyDescent="0.25">
      <c r="A22" s="38" t="s">
        <v>66</v>
      </c>
      <c r="B22" s="154">
        <f>SUM(B16:B20)*B21</f>
        <v>1.34</v>
      </c>
    </row>
  </sheetData>
  <pageMargins left="0.70866141732283472" right="0.70866141732283472" top="0.74803149606299213" bottom="0.74803149606299213" header="0.31496062992125984" footer="0.31496062992125984"/>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workbookViewId="0">
      <selection activeCell="A10" sqref="A10"/>
    </sheetView>
  </sheetViews>
  <sheetFormatPr defaultRowHeight="15" x14ac:dyDescent="0.25"/>
  <cols>
    <col min="1" max="1" width="33.5703125" customWidth="1"/>
    <col min="2" max="2" width="11.42578125" customWidth="1"/>
    <col min="3" max="3" width="12.5703125" customWidth="1"/>
    <col min="4" max="4" width="14.5703125" customWidth="1"/>
    <col min="5" max="5" width="13.42578125" customWidth="1"/>
    <col min="6" max="6" width="15.140625" customWidth="1"/>
    <col min="7" max="7" width="15.7109375" customWidth="1"/>
    <col min="8" max="8" width="18.7109375" customWidth="1"/>
  </cols>
  <sheetData>
    <row r="1" spans="1:16" s="7" customFormat="1" ht="21" x14ac:dyDescent="0.35">
      <c r="A1" s="121" t="s">
        <v>81</v>
      </c>
    </row>
    <row r="2" spans="1:16" s="7" customFormat="1" ht="15.75" x14ac:dyDescent="0.25">
      <c r="A2" s="161" t="s">
        <v>94</v>
      </c>
      <c r="B2" s="162"/>
      <c r="C2" s="162"/>
      <c r="D2" s="162"/>
      <c r="E2" s="162"/>
      <c r="F2" s="162"/>
      <c r="G2" s="162"/>
    </row>
    <row r="3" spans="1:16" ht="46.5" x14ac:dyDescent="0.25">
      <c r="A3" s="50" t="s">
        <v>67</v>
      </c>
      <c r="B3" s="76" t="s">
        <v>23</v>
      </c>
      <c r="C3" s="76" t="s">
        <v>25</v>
      </c>
      <c r="D3" s="76" t="s">
        <v>24</v>
      </c>
      <c r="E3" s="76" t="s">
        <v>26</v>
      </c>
      <c r="F3" s="76" t="s">
        <v>27</v>
      </c>
      <c r="G3" s="77" t="s">
        <v>28</v>
      </c>
      <c r="H3" s="74" t="s">
        <v>49</v>
      </c>
    </row>
    <row r="4" spans="1:16" ht="59.25" customHeight="1" x14ac:dyDescent="0.25">
      <c r="A4" s="42" t="s">
        <v>98</v>
      </c>
      <c r="B4" s="155">
        <f>SUM(('No of users - Predicted'!B11)*B10)*B9</f>
        <v>700</v>
      </c>
      <c r="C4" s="155">
        <f>SUM(('No of users - Predicted'!C11)*B10)*B9</f>
        <v>2800</v>
      </c>
      <c r="D4" s="155">
        <f>SUM(('No of users - Predicted'!D11)*B10)*B9</f>
        <v>7700</v>
      </c>
      <c r="E4" s="155">
        <f>SUM(('No of users - Predicted'!E11)*B10)*B9</f>
        <v>11550</v>
      </c>
      <c r="F4" s="155">
        <f>SUM(('No of users - Predicted'!F11)*B10)*B9</f>
        <v>20650</v>
      </c>
      <c r="G4" s="155">
        <f>SUM(('No of users - Predicted'!G11)*B10)*B9</f>
        <v>30100</v>
      </c>
      <c r="H4" s="164">
        <f>SUM(B4:G4)</f>
        <v>73500</v>
      </c>
    </row>
    <row r="5" spans="1:16" s="7" customFormat="1" ht="124.5" customHeight="1" x14ac:dyDescent="0.25">
      <c r="A5" s="32" t="s">
        <v>166</v>
      </c>
      <c r="B5" s="166">
        <f>SUM(365*B14)*B13</f>
        <v>7300</v>
      </c>
      <c r="C5" s="166">
        <f t="shared" ref="C5:G5" si="0">SUM(365*C14)*C13</f>
        <v>7300</v>
      </c>
      <c r="D5" s="166">
        <f t="shared" si="0"/>
        <v>16060</v>
      </c>
      <c r="E5" s="166">
        <f t="shared" si="0"/>
        <v>16060</v>
      </c>
      <c r="F5" s="166">
        <f t="shared" si="0"/>
        <v>27375</v>
      </c>
      <c r="G5" s="166">
        <f t="shared" si="0"/>
        <v>27375</v>
      </c>
      <c r="H5" s="164">
        <f>SUM(B5:G5)</f>
        <v>101470</v>
      </c>
    </row>
    <row r="6" spans="1:16" s="7" customFormat="1" ht="59.25" customHeight="1" x14ac:dyDescent="0.25">
      <c r="A6" s="183" t="s">
        <v>21</v>
      </c>
      <c r="B6" s="167">
        <f>SUM(B4:B5)</f>
        <v>8000</v>
      </c>
      <c r="C6" s="167">
        <f t="shared" ref="C6:H6" si="1">SUM(C4:C5)</f>
        <v>10100</v>
      </c>
      <c r="D6" s="167">
        <f t="shared" si="1"/>
        <v>23760</v>
      </c>
      <c r="E6" s="167">
        <f t="shared" si="1"/>
        <v>27610</v>
      </c>
      <c r="F6" s="167">
        <f t="shared" si="1"/>
        <v>48025</v>
      </c>
      <c r="G6" s="167">
        <f t="shared" si="1"/>
        <v>57475</v>
      </c>
      <c r="H6" s="155">
        <f t="shared" si="1"/>
        <v>174970</v>
      </c>
    </row>
    <row r="8" spans="1:16" x14ac:dyDescent="0.25">
      <c r="A8" s="87" t="s">
        <v>63</v>
      </c>
    </row>
    <row r="9" spans="1:16" x14ac:dyDescent="0.25">
      <c r="A9" t="s">
        <v>64</v>
      </c>
      <c r="B9" s="123">
        <v>100</v>
      </c>
      <c r="D9" s="92" t="s">
        <v>129</v>
      </c>
      <c r="E9" s="92"/>
      <c r="F9" s="92"/>
    </row>
    <row r="10" spans="1:16" ht="45" x14ac:dyDescent="0.25">
      <c r="A10" s="41" t="s">
        <v>167</v>
      </c>
      <c r="B10" s="132">
        <v>0.01</v>
      </c>
      <c r="D10" s="92" t="s">
        <v>97</v>
      </c>
      <c r="K10" s="92" t="s">
        <v>127</v>
      </c>
      <c r="L10" s="92"/>
      <c r="M10" s="92"/>
      <c r="N10" s="92"/>
      <c r="O10" s="92"/>
      <c r="P10" s="92"/>
    </row>
    <row r="12" spans="1:16" x14ac:dyDescent="0.25">
      <c r="A12" s="87" t="s">
        <v>95</v>
      </c>
    </row>
    <row r="13" spans="1:16" ht="45" x14ac:dyDescent="0.25">
      <c r="A13" s="41" t="s">
        <v>96</v>
      </c>
      <c r="B13" s="165">
        <v>20</v>
      </c>
      <c r="C13" s="165">
        <v>20</v>
      </c>
      <c r="D13" s="165">
        <v>22</v>
      </c>
      <c r="E13" s="165">
        <v>22</v>
      </c>
      <c r="F13" s="165">
        <v>25</v>
      </c>
      <c r="G13" s="165">
        <v>25</v>
      </c>
    </row>
    <row r="14" spans="1:16" ht="45" x14ac:dyDescent="0.25">
      <c r="A14" s="41" t="s">
        <v>99</v>
      </c>
      <c r="B14" s="124">
        <v>1</v>
      </c>
      <c r="C14" s="124">
        <v>1</v>
      </c>
      <c r="D14" s="124">
        <v>2</v>
      </c>
      <c r="E14" s="124">
        <v>2</v>
      </c>
      <c r="F14" s="124">
        <v>3</v>
      </c>
      <c r="G14" s="124">
        <v>3</v>
      </c>
      <c r="I14" s="92" t="s">
        <v>100</v>
      </c>
      <c r="J14" s="92"/>
      <c r="K14" s="92"/>
      <c r="L14" s="92"/>
      <c r="M14" s="92"/>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workbookViewId="0">
      <selection activeCell="B7" sqref="B7"/>
    </sheetView>
  </sheetViews>
  <sheetFormatPr defaultRowHeight="15" x14ac:dyDescent="0.25"/>
  <cols>
    <col min="1" max="1" width="18.85546875" style="7" customWidth="1"/>
    <col min="2" max="2" width="65.42578125" customWidth="1"/>
    <col min="3" max="3" width="19" customWidth="1"/>
    <col min="4" max="4" width="13.5703125" customWidth="1"/>
    <col min="5" max="5" width="14.28515625" customWidth="1"/>
    <col min="6" max="6" width="14" customWidth="1"/>
    <col min="7" max="7" width="14.28515625" customWidth="1"/>
    <col min="8" max="8" width="16.140625" customWidth="1"/>
    <col min="9" max="9" width="19" customWidth="1"/>
  </cols>
  <sheetData>
    <row r="1" spans="1:9" s="7" customFormat="1" ht="21" x14ac:dyDescent="0.35">
      <c r="B1" s="160" t="s">
        <v>81</v>
      </c>
    </row>
    <row r="2" spans="1:9" s="7" customFormat="1" x14ac:dyDescent="0.25">
      <c r="B2" s="168" t="s">
        <v>168</v>
      </c>
      <c r="C2" s="170"/>
      <c r="D2" s="170"/>
      <c r="E2" s="169"/>
      <c r="F2" s="169"/>
    </row>
    <row r="3" spans="1:9" ht="93" x14ac:dyDescent="0.25">
      <c r="A3" s="50" t="s">
        <v>102</v>
      </c>
      <c r="B3" s="53" t="s">
        <v>37</v>
      </c>
      <c r="C3" s="52" t="s">
        <v>23</v>
      </c>
      <c r="D3" s="52" t="s">
        <v>25</v>
      </c>
      <c r="E3" s="52" t="s">
        <v>24</v>
      </c>
      <c r="F3" s="52" t="s">
        <v>26</v>
      </c>
      <c r="G3" s="52" t="s">
        <v>27</v>
      </c>
      <c r="H3" s="52" t="s">
        <v>28</v>
      </c>
      <c r="I3" s="79" t="s">
        <v>21</v>
      </c>
    </row>
    <row r="4" spans="1:9" ht="75" x14ac:dyDescent="0.25">
      <c r="A4" s="32" t="s">
        <v>38</v>
      </c>
      <c r="B4" s="42" t="s">
        <v>169</v>
      </c>
      <c r="C4" s="166">
        <f>SUM(((C13*C14)*C15)*365)</f>
        <v>43800</v>
      </c>
      <c r="D4" s="166">
        <f t="shared" ref="D4:H4" si="0">SUM(((D13*D14)*D15)*365)</f>
        <v>87600</v>
      </c>
      <c r="E4" s="166">
        <f t="shared" si="0"/>
        <v>87600</v>
      </c>
      <c r="F4" s="166">
        <f t="shared" si="0"/>
        <v>87600</v>
      </c>
      <c r="G4" s="166">
        <f t="shared" si="0"/>
        <v>87600</v>
      </c>
      <c r="H4" s="166">
        <f t="shared" si="0"/>
        <v>87600</v>
      </c>
      <c r="I4" s="69">
        <f t="shared" ref="I4:I8" si="1">SUM(C4:H4)</f>
        <v>481800</v>
      </c>
    </row>
    <row r="5" spans="1:9" ht="90" x14ac:dyDescent="0.25">
      <c r="A5" s="32" t="s">
        <v>47</v>
      </c>
      <c r="B5" s="171" t="s">
        <v>107</v>
      </c>
      <c r="C5" s="166">
        <f>SUM(((C18*C19)*C20)*365)</f>
        <v>21900</v>
      </c>
      <c r="D5" s="166">
        <f t="shared" ref="D5:H5" si="2">SUM(((D18*D19)*D20)*365)</f>
        <v>21900</v>
      </c>
      <c r="E5" s="166">
        <f t="shared" si="2"/>
        <v>43800</v>
      </c>
      <c r="F5" s="166">
        <f t="shared" si="2"/>
        <v>43800</v>
      </c>
      <c r="G5" s="166">
        <f t="shared" si="2"/>
        <v>87600</v>
      </c>
      <c r="H5" s="166">
        <f t="shared" si="2"/>
        <v>87600</v>
      </c>
      <c r="I5" s="69">
        <f t="shared" si="1"/>
        <v>306600</v>
      </c>
    </row>
    <row r="6" spans="1:9" ht="120" x14ac:dyDescent="0.25">
      <c r="A6" s="32" t="s">
        <v>48</v>
      </c>
      <c r="B6" s="42" t="s">
        <v>112</v>
      </c>
      <c r="C6" s="166">
        <f>SUM('No of users - Predicted'!B11*C23)*C24</f>
        <v>630</v>
      </c>
      <c r="D6" s="166">
        <f>SUM('No of users - Predicted'!C11*D23)*D24</f>
        <v>4200</v>
      </c>
      <c r="E6" s="166">
        <f>SUM('No of users - Predicted'!D11*E23)*E24</f>
        <v>13860</v>
      </c>
      <c r="F6" s="166">
        <f>SUM('No of users - Predicted'!E11*F23)*F24</f>
        <v>24255.000000000004</v>
      </c>
      <c r="G6" s="166">
        <f>SUM('No of users - Predicted'!F11*G23)*G24</f>
        <v>49560</v>
      </c>
      <c r="H6" s="166">
        <f>SUM('No of users - Predicted'!G11*H23)*H24</f>
        <v>81270</v>
      </c>
      <c r="I6" s="69">
        <f t="shared" si="1"/>
        <v>173775</v>
      </c>
    </row>
    <row r="7" spans="1:9" ht="45" x14ac:dyDescent="0.25">
      <c r="A7" s="32" t="s">
        <v>39</v>
      </c>
      <c r="B7" s="48" t="s">
        <v>170</v>
      </c>
      <c r="C7" s="166">
        <f>SUM(C27*C28)</f>
        <v>6750</v>
      </c>
      <c r="D7" s="166">
        <f t="shared" ref="D7:H7" si="3">SUM(D27*D28)</f>
        <v>13500</v>
      </c>
      <c r="E7" s="166">
        <f t="shared" si="3"/>
        <v>21000</v>
      </c>
      <c r="F7" s="166">
        <f t="shared" si="3"/>
        <v>28000</v>
      </c>
      <c r="G7" s="166">
        <f t="shared" si="3"/>
        <v>43500</v>
      </c>
      <c r="H7" s="166">
        <f t="shared" si="3"/>
        <v>58000</v>
      </c>
      <c r="I7" s="69">
        <f t="shared" si="1"/>
        <v>170750</v>
      </c>
    </row>
    <row r="8" spans="1:9" s="7" customFormat="1" ht="75" x14ac:dyDescent="0.25">
      <c r="A8" s="32" t="s">
        <v>46</v>
      </c>
      <c r="B8" s="42" t="s">
        <v>116</v>
      </c>
      <c r="C8" s="166">
        <f>SUM(C31*C32)*C33</f>
        <v>15000</v>
      </c>
      <c r="D8" s="166">
        <f t="shared" ref="D8:H8" si="4">SUM(D31*D32)*D33</f>
        <v>15000</v>
      </c>
      <c r="E8" s="166">
        <f t="shared" si="4"/>
        <v>30000</v>
      </c>
      <c r="F8" s="166">
        <f t="shared" si="4"/>
        <v>45000</v>
      </c>
      <c r="G8" s="166">
        <f t="shared" si="4"/>
        <v>60000</v>
      </c>
      <c r="H8" s="166">
        <f t="shared" si="4"/>
        <v>75000</v>
      </c>
      <c r="I8" s="69">
        <f t="shared" si="1"/>
        <v>240000</v>
      </c>
    </row>
    <row r="9" spans="1:9" x14ac:dyDescent="0.25">
      <c r="A9" s="33"/>
      <c r="B9" s="38" t="s">
        <v>21</v>
      </c>
      <c r="C9" s="40">
        <f t="shared" ref="C9:H9" si="5">SUM(C4:C8)</f>
        <v>88080</v>
      </c>
      <c r="D9" s="40">
        <f t="shared" si="5"/>
        <v>142200</v>
      </c>
      <c r="E9" s="40">
        <f t="shared" si="5"/>
        <v>196260</v>
      </c>
      <c r="F9" s="40">
        <f t="shared" si="5"/>
        <v>228655</v>
      </c>
      <c r="G9" s="40">
        <f t="shared" si="5"/>
        <v>328260</v>
      </c>
      <c r="H9" s="40">
        <f t="shared" si="5"/>
        <v>389470</v>
      </c>
      <c r="I9" s="33"/>
    </row>
    <row r="12" spans="1:9" x14ac:dyDescent="0.25">
      <c r="A12" s="174" t="s">
        <v>103</v>
      </c>
      <c r="B12" s="174"/>
    </row>
    <row r="13" spans="1:9" x14ac:dyDescent="0.25">
      <c r="A13" s="80"/>
      <c r="B13" s="80" t="s">
        <v>104</v>
      </c>
      <c r="C13" s="124">
        <v>12</v>
      </c>
      <c r="D13" s="124">
        <v>12</v>
      </c>
      <c r="E13" s="124">
        <v>12</v>
      </c>
      <c r="F13" s="124">
        <v>12</v>
      </c>
      <c r="G13" s="124">
        <v>12</v>
      </c>
      <c r="H13" s="124">
        <v>12</v>
      </c>
    </row>
    <row r="14" spans="1:9" x14ac:dyDescent="0.25">
      <c r="A14" s="80"/>
      <c r="B14" s="80" t="s">
        <v>106</v>
      </c>
      <c r="C14" s="124">
        <v>0.5</v>
      </c>
      <c r="D14" s="124">
        <v>1</v>
      </c>
      <c r="E14" s="124">
        <v>1</v>
      </c>
      <c r="F14" s="124">
        <v>1</v>
      </c>
      <c r="G14" s="124">
        <v>1</v>
      </c>
      <c r="H14" s="124">
        <v>1</v>
      </c>
    </row>
    <row r="15" spans="1:9" x14ac:dyDescent="0.25">
      <c r="A15" s="80"/>
      <c r="B15" s="80" t="s">
        <v>105</v>
      </c>
      <c r="C15" s="123">
        <v>20</v>
      </c>
      <c r="D15" s="123">
        <v>20</v>
      </c>
      <c r="E15" s="123">
        <v>20</v>
      </c>
      <c r="F15" s="123">
        <v>20</v>
      </c>
      <c r="G15" s="123">
        <v>20</v>
      </c>
      <c r="H15" s="123">
        <v>20</v>
      </c>
    </row>
    <row r="16" spans="1:9" x14ac:dyDescent="0.25">
      <c r="A16" s="80"/>
      <c r="B16" s="80"/>
    </row>
    <row r="17" spans="1:8" x14ac:dyDescent="0.25">
      <c r="A17" s="173" t="s">
        <v>47</v>
      </c>
      <c r="B17" s="174"/>
    </row>
    <row r="18" spans="1:8" x14ac:dyDescent="0.25">
      <c r="A18" s="80"/>
      <c r="B18" s="80" t="s">
        <v>104</v>
      </c>
      <c r="C18" s="124">
        <v>12</v>
      </c>
      <c r="D18" s="124">
        <v>12</v>
      </c>
      <c r="E18" s="124">
        <v>12</v>
      </c>
      <c r="F18" s="124">
        <v>12</v>
      </c>
      <c r="G18" s="124">
        <v>12</v>
      </c>
      <c r="H18" s="124">
        <v>12</v>
      </c>
    </row>
    <row r="19" spans="1:8" x14ac:dyDescent="0.25">
      <c r="A19" s="80"/>
      <c r="B19" s="80" t="s">
        <v>106</v>
      </c>
      <c r="C19" s="124">
        <v>0.25</v>
      </c>
      <c r="D19" s="124">
        <v>0.25</v>
      </c>
      <c r="E19" s="124">
        <v>0.5</v>
      </c>
      <c r="F19" s="124">
        <v>0.5</v>
      </c>
      <c r="G19" s="124">
        <v>1</v>
      </c>
      <c r="H19" s="124">
        <v>1</v>
      </c>
    </row>
    <row r="20" spans="1:8" x14ac:dyDescent="0.25">
      <c r="A20" s="80"/>
      <c r="B20" s="80" t="s">
        <v>105</v>
      </c>
      <c r="C20" s="123">
        <v>20</v>
      </c>
      <c r="D20" s="123">
        <v>20</v>
      </c>
      <c r="E20" s="123">
        <v>20</v>
      </c>
      <c r="F20" s="123">
        <v>20</v>
      </c>
      <c r="G20" s="123">
        <v>20</v>
      </c>
      <c r="H20" s="123">
        <v>20</v>
      </c>
    </row>
    <row r="21" spans="1:8" x14ac:dyDescent="0.25">
      <c r="A21" s="80"/>
      <c r="B21" s="80"/>
    </row>
    <row r="22" spans="1:8" x14ac:dyDescent="0.25">
      <c r="A22" s="173" t="s">
        <v>48</v>
      </c>
      <c r="B22" s="174"/>
    </row>
    <row r="23" spans="1:8" x14ac:dyDescent="0.25">
      <c r="A23" s="80"/>
      <c r="B23" s="175" t="s">
        <v>108</v>
      </c>
      <c r="C23" s="165">
        <v>30</v>
      </c>
      <c r="D23" s="165">
        <v>30</v>
      </c>
      <c r="E23" s="165">
        <v>30</v>
      </c>
      <c r="F23" s="165">
        <v>30</v>
      </c>
      <c r="G23" s="165">
        <v>30</v>
      </c>
      <c r="H23" s="165">
        <v>30</v>
      </c>
    </row>
    <row r="24" spans="1:8" x14ac:dyDescent="0.25">
      <c r="A24" s="80"/>
      <c r="B24" s="175" t="s">
        <v>109</v>
      </c>
      <c r="C24" s="132">
        <v>0.03</v>
      </c>
      <c r="D24" s="132">
        <v>0.05</v>
      </c>
      <c r="E24" s="132">
        <v>0.06</v>
      </c>
      <c r="F24" s="132">
        <v>7.0000000000000007E-2</v>
      </c>
      <c r="G24" s="132">
        <v>0.08</v>
      </c>
      <c r="H24" s="132">
        <v>0.09</v>
      </c>
    </row>
    <row r="25" spans="1:8" x14ac:dyDescent="0.25">
      <c r="A25" s="80"/>
      <c r="B25" s="80"/>
    </row>
    <row r="26" spans="1:8" x14ac:dyDescent="0.25">
      <c r="A26" s="173" t="s">
        <v>39</v>
      </c>
      <c r="B26" s="174"/>
    </row>
    <row r="27" spans="1:8" x14ac:dyDescent="0.25">
      <c r="A27" s="80"/>
      <c r="B27" s="80" t="s">
        <v>110</v>
      </c>
      <c r="C27" s="165">
        <v>27000</v>
      </c>
      <c r="D27" s="165">
        <v>27000</v>
      </c>
      <c r="E27" s="165">
        <v>28000</v>
      </c>
      <c r="F27" s="165">
        <v>28000</v>
      </c>
      <c r="G27" s="165">
        <v>29000</v>
      </c>
      <c r="H27" s="165">
        <v>29000</v>
      </c>
    </row>
    <row r="28" spans="1:8" x14ac:dyDescent="0.25">
      <c r="A28" s="80"/>
      <c r="B28" s="80" t="s">
        <v>111</v>
      </c>
      <c r="C28" s="124">
        <v>0.25</v>
      </c>
      <c r="D28" s="124">
        <v>0.5</v>
      </c>
      <c r="E28" s="124">
        <v>0.75</v>
      </c>
      <c r="F28" s="124">
        <v>1</v>
      </c>
      <c r="G28" s="124">
        <v>1.5</v>
      </c>
      <c r="H28" s="124">
        <v>2</v>
      </c>
    </row>
    <row r="29" spans="1:8" x14ac:dyDescent="0.25">
      <c r="A29" s="80"/>
      <c r="B29" s="80"/>
    </row>
    <row r="30" spans="1:8" x14ac:dyDescent="0.25">
      <c r="A30" s="176" t="s">
        <v>46</v>
      </c>
      <c r="B30" s="172"/>
    </row>
    <row r="31" spans="1:8" x14ac:dyDescent="0.25">
      <c r="A31" s="80"/>
      <c r="B31" s="80" t="s">
        <v>115</v>
      </c>
      <c r="C31" s="165">
        <v>300</v>
      </c>
      <c r="D31" s="165">
        <v>300</v>
      </c>
      <c r="E31" s="165">
        <v>300</v>
      </c>
      <c r="F31" s="165">
        <v>300</v>
      </c>
      <c r="G31" s="165">
        <v>300</v>
      </c>
      <c r="H31" s="165">
        <v>300</v>
      </c>
    </row>
    <row r="32" spans="1:8" x14ac:dyDescent="0.25">
      <c r="A32" s="80"/>
      <c r="B32" s="175" t="s">
        <v>113</v>
      </c>
      <c r="C32" s="124">
        <v>20000</v>
      </c>
      <c r="D32" s="124">
        <v>20000</v>
      </c>
      <c r="E32" s="124">
        <v>20000</v>
      </c>
      <c r="F32" s="124">
        <v>20000</v>
      </c>
      <c r="G32" s="124">
        <v>20000</v>
      </c>
      <c r="H32" s="124">
        <v>20000</v>
      </c>
    </row>
    <row r="33" spans="2:8" x14ac:dyDescent="0.25">
      <c r="B33" s="175" t="s">
        <v>114</v>
      </c>
      <c r="C33" s="177">
        <v>2.5000000000000001E-3</v>
      </c>
      <c r="D33" s="177">
        <v>2.5000000000000001E-3</v>
      </c>
      <c r="E33" s="177">
        <v>5.0000000000000001E-3</v>
      </c>
      <c r="F33" s="177">
        <v>7.4999999999999997E-3</v>
      </c>
      <c r="G33" s="177">
        <v>0.01</v>
      </c>
      <c r="H33" s="177">
        <v>1.2500000000000001E-2</v>
      </c>
    </row>
  </sheetData>
  <pageMargins left="0.70866141732283472" right="0.70866141732283472" top="0.74803149606299213" bottom="0.74803149606299213" header="0.31496062992125984" footer="0.31496062992125984"/>
  <pageSetup paperSize="9"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workbookViewId="0">
      <selection activeCell="A4" sqref="A4"/>
    </sheetView>
  </sheetViews>
  <sheetFormatPr defaultRowHeight="15" x14ac:dyDescent="0.25"/>
  <cols>
    <col min="1" max="1" width="37.28515625" customWidth="1"/>
    <col min="2" max="2" width="14" customWidth="1"/>
    <col min="3" max="3" width="13" customWidth="1"/>
    <col min="4" max="4" width="15.28515625" customWidth="1"/>
    <col min="5" max="5" width="14.5703125" customWidth="1"/>
    <col min="6" max="6" width="15.5703125" customWidth="1"/>
    <col min="7" max="7" width="17.7109375" customWidth="1"/>
  </cols>
  <sheetData>
    <row r="1" spans="1:7" s="7" customFormat="1" ht="21" x14ac:dyDescent="0.35">
      <c r="A1" s="121" t="s">
        <v>81</v>
      </c>
    </row>
    <row r="2" spans="1:7" ht="46.5" x14ac:dyDescent="0.25">
      <c r="A2" s="50" t="s">
        <v>134</v>
      </c>
      <c r="B2" s="54" t="s">
        <v>23</v>
      </c>
      <c r="C2" s="54" t="s">
        <v>25</v>
      </c>
      <c r="D2" s="54" t="s">
        <v>24</v>
      </c>
      <c r="E2" s="54" t="s">
        <v>26</v>
      </c>
      <c r="F2" s="54" t="s">
        <v>27</v>
      </c>
      <c r="G2" s="54" t="s">
        <v>28</v>
      </c>
    </row>
    <row r="3" spans="1:7" x14ac:dyDescent="0.25">
      <c r="A3" s="126" t="s">
        <v>154</v>
      </c>
      <c r="B3" s="127">
        <v>5000</v>
      </c>
      <c r="C3" s="37"/>
      <c r="D3" s="37"/>
      <c r="E3" s="37"/>
      <c r="F3" s="37"/>
      <c r="G3" s="37"/>
    </row>
    <row r="4" spans="1:7" x14ac:dyDescent="0.25">
      <c r="A4" s="103"/>
      <c r="B4" s="127"/>
      <c r="C4" s="37"/>
      <c r="D4" s="37"/>
      <c r="E4" s="37"/>
      <c r="F4" s="37"/>
      <c r="G4" s="37"/>
    </row>
    <row r="5" spans="1:7" x14ac:dyDescent="0.25">
      <c r="A5" s="103"/>
      <c r="B5" s="127"/>
      <c r="C5" s="37"/>
      <c r="D5" s="37"/>
      <c r="E5" s="37"/>
      <c r="F5" s="37"/>
      <c r="G5" s="37"/>
    </row>
    <row r="6" spans="1:7" x14ac:dyDescent="0.25">
      <c r="A6" s="103"/>
      <c r="B6" s="127"/>
      <c r="C6" s="37"/>
      <c r="D6" s="37"/>
      <c r="E6" s="37"/>
      <c r="F6" s="37"/>
      <c r="G6" s="37"/>
    </row>
    <row r="7" spans="1:7" x14ac:dyDescent="0.25">
      <c r="A7" s="103"/>
      <c r="B7" s="127"/>
      <c r="C7" s="37"/>
      <c r="D7" s="37"/>
      <c r="E7" s="37"/>
      <c r="F7" s="37"/>
      <c r="G7" s="37"/>
    </row>
    <row r="8" spans="1:7" x14ac:dyDescent="0.25">
      <c r="A8" s="103"/>
      <c r="B8" s="127"/>
      <c r="C8" s="37"/>
      <c r="D8" s="37"/>
      <c r="E8" s="37"/>
      <c r="F8" s="37"/>
      <c r="G8" s="37"/>
    </row>
    <row r="9" spans="1:7" x14ac:dyDescent="0.25">
      <c r="A9" s="103"/>
      <c r="B9" s="127"/>
      <c r="C9" s="37"/>
      <c r="D9" s="37"/>
      <c r="E9" s="37"/>
      <c r="F9" s="37"/>
      <c r="G9" s="37"/>
    </row>
    <row r="10" spans="1:7" x14ac:dyDescent="0.25">
      <c r="A10" s="103"/>
      <c r="B10" s="127"/>
      <c r="C10" s="37"/>
      <c r="D10" s="37"/>
      <c r="E10" s="37"/>
      <c r="F10" s="37"/>
      <c r="G10" s="37"/>
    </row>
    <row r="11" spans="1:7" x14ac:dyDescent="0.25">
      <c r="A11" s="103"/>
      <c r="B11" s="127"/>
      <c r="C11" s="37"/>
      <c r="D11" s="37"/>
      <c r="E11" s="37"/>
      <c r="F11" s="37"/>
      <c r="G11" s="37"/>
    </row>
    <row r="12" spans="1:7" x14ac:dyDescent="0.25">
      <c r="A12" s="103"/>
      <c r="B12" s="127"/>
      <c r="C12" s="37"/>
      <c r="D12" s="37"/>
      <c r="E12" s="37"/>
      <c r="F12" s="37"/>
      <c r="G12" s="37"/>
    </row>
    <row r="13" spans="1:7" x14ac:dyDescent="0.25">
      <c r="A13" s="103"/>
      <c r="B13" s="127"/>
      <c r="C13" s="37"/>
      <c r="D13" s="37"/>
      <c r="E13" s="37"/>
      <c r="F13" s="37"/>
      <c r="G13" s="37"/>
    </row>
    <row r="14" spans="1:7" x14ac:dyDescent="0.25">
      <c r="A14" s="103"/>
      <c r="B14" s="127"/>
      <c r="C14" s="37"/>
      <c r="D14" s="37"/>
      <c r="E14" s="37"/>
      <c r="F14" s="37"/>
      <c r="G14" s="37"/>
    </row>
    <row r="15" spans="1:7" x14ac:dyDescent="0.25">
      <c r="A15" s="103"/>
      <c r="B15" s="127"/>
      <c r="C15" s="37"/>
      <c r="D15" s="37"/>
      <c r="E15" s="37"/>
      <c r="F15" s="37"/>
      <c r="G15" s="37"/>
    </row>
    <row r="16" spans="1:7" x14ac:dyDescent="0.25">
      <c r="A16" s="33" t="s">
        <v>21</v>
      </c>
      <c r="B16" s="39">
        <f>SUM(B3:B15)</f>
        <v>5000</v>
      </c>
      <c r="C16" s="39">
        <f t="shared" ref="C16:G16" si="0">SUM(C3:C15)</f>
        <v>0</v>
      </c>
      <c r="D16" s="39">
        <f t="shared" si="0"/>
        <v>0</v>
      </c>
      <c r="E16" s="39">
        <f t="shared" si="0"/>
        <v>0</v>
      </c>
      <c r="F16" s="39">
        <f t="shared" si="0"/>
        <v>0</v>
      </c>
      <c r="G16" s="39">
        <f t="shared" si="0"/>
        <v>0</v>
      </c>
    </row>
  </sheetData>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workbookViewId="0">
      <selection activeCell="C6" sqref="C6"/>
    </sheetView>
  </sheetViews>
  <sheetFormatPr defaultRowHeight="15" x14ac:dyDescent="0.25"/>
  <cols>
    <col min="1" max="1" width="36.42578125" style="7" customWidth="1"/>
    <col min="2" max="2" width="18.42578125" style="7" customWidth="1"/>
    <col min="3" max="3" width="64.140625" style="7" customWidth="1"/>
    <col min="4" max="16384" width="9.140625" style="7"/>
  </cols>
  <sheetData>
    <row r="1" spans="1:14" ht="21" x14ac:dyDescent="0.35">
      <c r="A1" s="121" t="s">
        <v>81</v>
      </c>
    </row>
    <row r="2" spans="1:14" ht="46.5" x14ac:dyDescent="0.25">
      <c r="A2" s="50" t="s">
        <v>135</v>
      </c>
      <c r="B2" s="29"/>
      <c r="C2" s="30"/>
    </row>
    <row r="3" spans="1:14" x14ac:dyDescent="0.25">
      <c r="A3" s="184" t="s">
        <v>160</v>
      </c>
      <c r="B3" s="29"/>
      <c r="C3" s="30"/>
    </row>
    <row r="4" spans="1:14" x14ac:dyDescent="0.25">
      <c r="A4" s="133" t="s">
        <v>86</v>
      </c>
      <c r="B4" s="125">
        <v>15000</v>
      </c>
      <c r="C4" s="88" t="s">
        <v>88</v>
      </c>
    </row>
    <row r="5" spans="1:14" x14ac:dyDescent="0.25">
      <c r="A5" s="133" t="s">
        <v>87</v>
      </c>
      <c r="B5" s="125">
        <v>5000</v>
      </c>
      <c r="C5" s="151" t="s">
        <v>88</v>
      </c>
    </row>
    <row r="6" spans="1:14" ht="60" x14ac:dyDescent="0.25">
      <c r="A6" s="98" t="s">
        <v>159</v>
      </c>
      <c r="B6" s="125">
        <v>27000</v>
      </c>
      <c r="C6" s="151" t="s">
        <v>171</v>
      </c>
    </row>
    <row r="7" spans="1:14" x14ac:dyDescent="0.25">
      <c r="A7" s="133" t="s">
        <v>157</v>
      </c>
      <c r="B7" s="125"/>
      <c r="C7" s="151" t="s">
        <v>88</v>
      </c>
    </row>
    <row r="8" spans="1:14" x14ac:dyDescent="0.25">
      <c r="A8" s="133" t="s">
        <v>157</v>
      </c>
      <c r="B8" s="125"/>
      <c r="C8" s="151" t="s">
        <v>88</v>
      </c>
    </row>
    <row r="9" spans="1:14" x14ac:dyDescent="0.25">
      <c r="A9" s="184" t="s">
        <v>128</v>
      </c>
      <c r="B9" s="185"/>
      <c r="C9" s="186"/>
    </row>
    <row r="10" spans="1:14" x14ac:dyDescent="0.25">
      <c r="A10" s="187" t="s">
        <v>124</v>
      </c>
      <c r="B10" s="166">
        <v>5000</v>
      </c>
      <c r="C10" s="150" t="s">
        <v>130</v>
      </c>
      <c r="E10" s="11"/>
      <c r="F10" s="11"/>
      <c r="G10" s="11"/>
      <c r="H10" s="11"/>
      <c r="I10" s="11"/>
      <c r="J10" s="11"/>
      <c r="K10" s="11"/>
      <c r="L10" s="11"/>
      <c r="M10" s="11"/>
      <c r="N10" s="11"/>
    </row>
    <row r="11" spans="1:14" x14ac:dyDescent="0.25">
      <c r="A11" s="187" t="s">
        <v>131</v>
      </c>
      <c r="B11" s="166">
        <f>SUM(B16*B17)</f>
        <v>3000</v>
      </c>
      <c r="C11" s="150" t="s">
        <v>136</v>
      </c>
    </row>
    <row r="12" spans="1:14" x14ac:dyDescent="0.25">
      <c r="A12" s="192" t="s">
        <v>158</v>
      </c>
      <c r="B12" s="193"/>
      <c r="C12" s="150" t="s">
        <v>88</v>
      </c>
    </row>
    <row r="13" spans="1:14" x14ac:dyDescent="0.25">
      <c r="A13" s="34" t="s">
        <v>20</v>
      </c>
      <c r="B13" s="35">
        <f>SUM(B4:B12)</f>
        <v>55000</v>
      </c>
      <c r="C13" s="31"/>
    </row>
    <row r="16" spans="1:14" x14ac:dyDescent="0.25">
      <c r="A16" s="7" t="s">
        <v>132</v>
      </c>
      <c r="B16" s="124">
        <v>2</v>
      </c>
    </row>
    <row r="17" spans="1:2" x14ac:dyDescent="0.25">
      <c r="A17" s="175" t="s">
        <v>133</v>
      </c>
      <c r="B17" s="124">
        <v>1500</v>
      </c>
    </row>
  </sheetData>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6"/>
  <sheetViews>
    <sheetView workbookViewId="0">
      <selection activeCell="A16" sqref="A16"/>
    </sheetView>
  </sheetViews>
  <sheetFormatPr defaultRowHeight="15" x14ac:dyDescent="0.25"/>
  <cols>
    <col min="1" max="1" width="43.42578125" style="7" customWidth="1"/>
    <col min="2" max="2" width="12.7109375" style="7" customWidth="1"/>
    <col min="3" max="3" width="13.42578125" style="7" customWidth="1"/>
    <col min="4" max="5" width="13.7109375" style="7" customWidth="1"/>
    <col min="6" max="7" width="16" style="7" customWidth="1"/>
    <col min="8" max="9" width="12.7109375" style="7" customWidth="1"/>
    <col min="10" max="11" width="12.85546875" style="7" customWidth="1"/>
    <col min="12" max="12" width="15" style="7" customWidth="1"/>
    <col min="13" max="13" width="15.28515625" style="7" customWidth="1"/>
    <col min="14" max="14" width="13" style="7" customWidth="1"/>
    <col min="15" max="15" width="15.7109375" style="7" customWidth="1"/>
    <col min="16" max="16384" width="9.140625" style="7"/>
  </cols>
  <sheetData>
    <row r="1" spans="1:15" ht="21" x14ac:dyDescent="0.35">
      <c r="A1" s="121" t="s">
        <v>81</v>
      </c>
      <c r="B1" s="121"/>
      <c r="C1" s="121"/>
    </row>
    <row r="2" spans="1:15" x14ac:dyDescent="0.25">
      <c r="A2" s="92" t="s">
        <v>85</v>
      </c>
      <c r="B2" s="92"/>
      <c r="C2" s="92"/>
      <c r="D2" s="92"/>
      <c r="E2" s="92"/>
      <c r="F2" s="92"/>
      <c r="G2" s="92"/>
      <c r="H2" s="92"/>
      <c r="I2" s="92"/>
      <c r="J2" s="92"/>
      <c r="K2" s="92"/>
      <c r="L2" s="92"/>
    </row>
    <row r="3" spans="1:15" ht="46.5" x14ac:dyDescent="0.25">
      <c r="A3" s="50" t="s">
        <v>153</v>
      </c>
      <c r="B3" s="55"/>
      <c r="C3" s="55"/>
      <c r="D3" s="57" t="s">
        <v>23</v>
      </c>
      <c r="E3" s="57" t="s">
        <v>23</v>
      </c>
      <c r="F3" s="57" t="s">
        <v>25</v>
      </c>
      <c r="G3" s="57" t="s">
        <v>25</v>
      </c>
      <c r="H3" s="57" t="s">
        <v>24</v>
      </c>
      <c r="I3" s="57" t="s">
        <v>24</v>
      </c>
      <c r="J3" s="57" t="s">
        <v>26</v>
      </c>
      <c r="K3" s="57" t="s">
        <v>26</v>
      </c>
      <c r="L3" s="57" t="s">
        <v>27</v>
      </c>
      <c r="M3" s="57" t="s">
        <v>27</v>
      </c>
      <c r="N3" s="57" t="s">
        <v>28</v>
      </c>
      <c r="O3" s="57" t="s">
        <v>28</v>
      </c>
    </row>
    <row r="4" spans="1:15" ht="30" x14ac:dyDescent="0.25">
      <c r="A4" s="103" t="s">
        <v>142</v>
      </c>
      <c r="B4" s="51" t="s">
        <v>137</v>
      </c>
      <c r="C4" s="51" t="s">
        <v>138</v>
      </c>
      <c r="D4" s="188" t="s">
        <v>139</v>
      </c>
      <c r="E4" s="51" t="s">
        <v>140</v>
      </c>
      <c r="F4" s="188" t="s">
        <v>139</v>
      </c>
      <c r="G4" s="51" t="s">
        <v>140</v>
      </c>
      <c r="H4" s="188" t="s">
        <v>139</v>
      </c>
      <c r="I4" s="51" t="s">
        <v>141</v>
      </c>
      <c r="J4" s="188" t="s">
        <v>139</v>
      </c>
      <c r="K4" s="51" t="s">
        <v>141</v>
      </c>
      <c r="L4" s="188" t="s">
        <v>139</v>
      </c>
      <c r="M4" s="51" t="s">
        <v>141</v>
      </c>
      <c r="N4" s="188" t="s">
        <v>139</v>
      </c>
      <c r="O4" s="51" t="s">
        <v>141</v>
      </c>
    </row>
    <row r="5" spans="1:15" x14ac:dyDescent="0.25">
      <c r="A5" s="33"/>
      <c r="B5" s="33" t="s">
        <v>143</v>
      </c>
      <c r="C5" s="33" t="s">
        <v>144</v>
      </c>
      <c r="D5" s="33">
        <v>250</v>
      </c>
      <c r="E5" s="196">
        <v>0</v>
      </c>
      <c r="F5" s="103">
        <v>250</v>
      </c>
      <c r="G5" s="196">
        <f>IF(C5="Primary",5000,1500)+((1500/250)*(F5-IF(C5="Primary",250,0)))</f>
        <v>5000</v>
      </c>
      <c r="H5" s="103">
        <v>500</v>
      </c>
      <c r="I5" s="196">
        <f>IF(C5="Primary",3500,1000)+((1500/250)*(H5-IF(C5="Primary",250,0)))</f>
        <v>5000</v>
      </c>
      <c r="J5" s="103">
        <v>750</v>
      </c>
      <c r="K5" s="196">
        <f>IF(G5="Primary",3500,1000)+((1500/250)*(J5-IF(G5="Primary",250,0)))</f>
        <v>5500</v>
      </c>
      <c r="L5" s="103">
        <v>1000</v>
      </c>
      <c r="M5" s="196">
        <f>IF(I5="Primary",3500,1000)+((1500/250)*(L5-IF(I5="Primary",250,0)))</f>
        <v>7000</v>
      </c>
      <c r="N5" s="103">
        <v>1250</v>
      </c>
      <c r="O5" s="196">
        <f>IF(K5="Primary",3500,1000)+((1500/250)*(N5-IF(K5="Primary",250,0)))</f>
        <v>8500</v>
      </c>
    </row>
    <row r="6" spans="1:15" x14ac:dyDescent="0.25">
      <c r="A6" s="33"/>
      <c r="B6" s="33" t="s">
        <v>145</v>
      </c>
      <c r="C6" s="33" t="s">
        <v>146</v>
      </c>
      <c r="D6" s="33">
        <v>250</v>
      </c>
      <c r="E6" s="196">
        <v>0</v>
      </c>
      <c r="F6" s="103">
        <v>250</v>
      </c>
      <c r="G6" s="196">
        <f>IF(C6="Primary",5000,1500)+((1500/250)*(F6-IF(C6="Primary",250,0)))</f>
        <v>3000</v>
      </c>
      <c r="H6" s="103">
        <v>500</v>
      </c>
      <c r="I6" s="196">
        <f>IF(C6="Primary",3500,1000)+((1500/250)*(H6-IF(C6="Primary",250,0)))</f>
        <v>4000</v>
      </c>
      <c r="J6" s="103">
        <v>750</v>
      </c>
      <c r="K6" s="196">
        <f>IF(G6="Primary",3500,1000)+((1500/250)*(J6-IF(G6="Primary",250,0)))</f>
        <v>5500</v>
      </c>
      <c r="L6" s="103">
        <v>1000</v>
      </c>
      <c r="M6" s="196">
        <f>IF(I6="Primary",3500,1000)+((1500/250)*(L6-IF(I6="Primary",250,0)))</f>
        <v>7000</v>
      </c>
      <c r="N6" s="103">
        <v>1250</v>
      </c>
      <c r="O6" s="196">
        <f>IF(K6="Primary",3500,1000)+((1500/250)*(N6-IF(K6="Primary",250,0)))</f>
        <v>8500</v>
      </c>
    </row>
    <row r="7" spans="1:15" x14ac:dyDescent="0.25">
      <c r="A7" s="33"/>
      <c r="B7" s="33" t="s">
        <v>147</v>
      </c>
      <c r="C7" s="33" t="s">
        <v>146</v>
      </c>
      <c r="D7" s="33">
        <v>250</v>
      </c>
      <c r="E7" s="196">
        <v>0</v>
      </c>
      <c r="F7" s="103">
        <v>250</v>
      </c>
      <c r="G7" s="196">
        <f>IF(C7="Primary",5000,1500)+((1500/250)*(F7-IF(C7="Primary",250,0)))</f>
        <v>3000</v>
      </c>
      <c r="H7" s="103">
        <v>500</v>
      </c>
      <c r="I7" s="196">
        <f>IF(C7="Primary",3500,1000)+((1500/250)*(H7-IF(C7="Primary",250,0)))</f>
        <v>4000</v>
      </c>
      <c r="J7" s="103">
        <v>750</v>
      </c>
      <c r="K7" s="196">
        <f>IF(G7="Primary",3500,1000)+((1500/250)*(J7-IF(G7="Primary",250,0)))</f>
        <v>5500</v>
      </c>
      <c r="L7" s="103">
        <v>1000</v>
      </c>
      <c r="M7" s="196">
        <f>IF(I7="Primary",3500,1000)+((1500/250)*(L7-IF(I7="Primary",250,0)))</f>
        <v>7000</v>
      </c>
      <c r="N7" s="103">
        <v>1250</v>
      </c>
      <c r="O7" s="196">
        <f>IF(K7="Primary",3500,1000)+((1500/250)*(N7-IF(K7="Primary",250,0)))</f>
        <v>8500</v>
      </c>
    </row>
    <row r="8" spans="1:15" x14ac:dyDescent="0.25">
      <c r="A8" s="33"/>
      <c r="B8" s="49" t="s">
        <v>152</v>
      </c>
      <c r="C8" s="49" t="s">
        <v>146</v>
      </c>
      <c r="D8" s="49">
        <v>0</v>
      </c>
      <c r="E8" s="196">
        <v>0</v>
      </c>
      <c r="F8" s="103">
        <v>100</v>
      </c>
      <c r="G8" s="196">
        <f>IF(C8="Primary",5000,1500)+((1500/250)*(F8-IF(C8="Primary",250,0)))</f>
        <v>2100</v>
      </c>
      <c r="H8" s="103">
        <v>150</v>
      </c>
      <c r="I8" s="196">
        <f>IF(C8="Primary",3500,1000)+((1500/250)*(H8-IF(C8="Primary",250,0)))</f>
        <v>1900</v>
      </c>
      <c r="J8" s="103">
        <v>200</v>
      </c>
      <c r="K8" s="196">
        <f>IF(G8="Primary",3500,1000)+((1500/250)*(J8-IF(G8="Primary",250,0)))</f>
        <v>2200</v>
      </c>
      <c r="L8" s="103">
        <v>250</v>
      </c>
      <c r="M8" s="196">
        <f>IF(I8="Primary",3500,1000)+((1500/250)*(L8-IF(I8="Primary",250,0)))</f>
        <v>2500</v>
      </c>
      <c r="N8" s="103">
        <v>275</v>
      </c>
      <c r="O8" s="196">
        <f>IF(K8="Primary",3500,1000)+((1500/250)*(N8-IF(K8="Primary",250,0)))</f>
        <v>2650</v>
      </c>
    </row>
    <row r="9" spans="1:15" x14ac:dyDescent="0.25">
      <c r="B9" s="175"/>
      <c r="C9" s="175"/>
    </row>
    <row r="10" spans="1:15" ht="75" x14ac:dyDescent="0.25">
      <c r="A10" s="194" t="s">
        <v>172</v>
      </c>
      <c r="B10" s="195"/>
      <c r="C10" s="195"/>
      <c r="D10" s="195"/>
      <c r="E10" s="195"/>
      <c r="F10" s="33"/>
      <c r="G10" s="101">
        <v>25000</v>
      </c>
      <c r="H10" s="33"/>
      <c r="I10" s="101">
        <v>25000</v>
      </c>
      <c r="J10" s="33"/>
      <c r="K10" s="101">
        <v>25000</v>
      </c>
      <c r="L10" s="33"/>
      <c r="M10" s="101">
        <v>25000</v>
      </c>
      <c r="N10" s="33"/>
      <c r="O10" s="101">
        <v>25000</v>
      </c>
    </row>
    <row r="11" spans="1:15" x14ac:dyDescent="0.25">
      <c r="A11" s="7" t="s">
        <v>21</v>
      </c>
      <c r="D11" s="198">
        <f>SUM(D4:D8)</f>
        <v>750</v>
      </c>
      <c r="E11" s="197">
        <f>SUM(E4:E8)</f>
        <v>0</v>
      </c>
      <c r="F11" s="198">
        <f>SUM(F4:F8)</f>
        <v>850</v>
      </c>
      <c r="G11" s="197">
        <f>SUM(G4:G10)</f>
        <v>38100</v>
      </c>
      <c r="H11" s="198">
        <f>SUM(H4:H8)</f>
        <v>1650</v>
      </c>
      <c r="I11" s="197">
        <f>SUM(I4:I10)</f>
        <v>39900</v>
      </c>
      <c r="J11" s="198">
        <f>SUM(J4:J8)</f>
        <v>2450</v>
      </c>
      <c r="K11" s="197">
        <f>SUM(K4:K10)</f>
        <v>43700</v>
      </c>
      <c r="L11" s="198">
        <f>SUM(L4:L8)</f>
        <v>3250</v>
      </c>
      <c r="M11" s="197">
        <f>SUM(M4:M10)</f>
        <v>48500</v>
      </c>
      <c r="N11" s="198">
        <f>SUM(N4:N8)</f>
        <v>4025</v>
      </c>
      <c r="O11" s="197">
        <f>SUM(O4:O10)</f>
        <v>53150</v>
      </c>
    </row>
    <row r="14" spans="1:15" x14ac:dyDescent="0.25">
      <c r="A14" s="92" t="s">
        <v>148</v>
      </c>
    </row>
    <row r="16" spans="1:15" x14ac:dyDescent="0.25">
      <c r="A16" s="92" t="s">
        <v>173</v>
      </c>
      <c r="B16" s="92"/>
      <c r="C16" s="92"/>
      <c r="D16" s="92"/>
      <c r="E16" s="92"/>
      <c r="F16" s="92"/>
      <c r="G16" s="92"/>
      <c r="H16" s="92"/>
      <c r="I16" s="92"/>
      <c r="J16" s="92"/>
    </row>
  </sheetData>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workbookViewId="0">
      <selection activeCell="A11" sqref="A11:G11"/>
    </sheetView>
  </sheetViews>
  <sheetFormatPr defaultRowHeight="15" x14ac:dyDescent="0.25"/>
  <cols>
    <col min="1" max="1" width="43.42578125" customWidth="1"/>
    <col min="2" max="2" width="13.7109375" customWidth="1"/>
    <col min="3" max="3" width="16" customWidth="1"/>
    <col min="4" max="4" width="12.7109375" customWidth="1"/>
    <col min="5" max="5" width="12.85546875" customWidth="1"/>
    <col min="6" max="6" width="15" customWidth="1"/>
    <col min="7" max="7" width="15.28515625" customWidth="1"/>
  </cols>
  <sheetData>
    <row r="1" spans="1:7" s="7" customFormat="1" ht="21" x14ac:dyDescent="0.35">
      <c r="A1" s="121" t="s">
        <v>81</v>
      </c>
    </row>
    <row r="2" spans="1:7" ht="37.5" x14ac:dyDescent="0.25">
      <c r="A2" s="56" t="s">
        <v>68</v>
      </c>
      <c r="B2" s="57" t="s">
        <v>23</v>
      </c>
      <c r="C2" s="57" t="s">
        <v>25</v>
      </c>
      <c r="D2" s="57" t="s">
        <v>24</v>
      </c>
      <c r="E2" s="57" t="s">
        <v>26</v>
      </c>
      <c r="F2" s="57" t="s">
        <v>27</v>
      </c>
      <c r="G2" s="57" t="s">
        <v>28</v>
      </c>
    </row>
    <row r="3" spans="1:7" s="7" customFormat="1" x14ac:dyDescent="0.25">
      <c r="A3" s="44" t="s">
        <v>40</v>
      </c>
      <c r="B3" s="128">
        <v>0.02</v>
      </c>
      <c r="C3" s="128">
        <v>0.05</v>
      </c>
      <c r="D3" s="128">
        <v>0.1</v>
      </c>
      <c r="E3" s="128">
        <v>0.15</v>
      </c>
      <c r="F3" s="128">
        <v>0.35</v>
      </c>
      <c r="G3" s="128">
        <v>0.5</v>
      </c>
    </row>
    <row r="4" spans="1:7" x14ac:dyDescent="0.25">
      <c r="A4" s="46" t="s">
        <v>150</v>
      </c>
      <c r="B4" s="199">
        <f>SUM('Outpatient Activity'!C4)*B3</f>
        <v>700</v>
      </c>
      <c r="C4" s="199">
        <f>SUM('Outpatient Activity'!C4)*C3</f>
        <v>1750</v>
      </c>
      <c r="D4" s="199">
        <f>SUM('Outpatient Activity'!C4)*D3</f>
        <v>3500</v>
      </c>
      <c r="E4" s="199">
        <f>SUM('Outpatient Activity'!C4)*E3</f>
        <v>5250</v>
      </c>
      <c r="F4" s="199">
        <f>SUM('Outpatient Activity'!C4)*F3</f>
        <v>12250</v>
      </c>
      <c r="G4" s="199">
        <f>SUM('Outpatient Activity'!C4)*G3</f>
        <v>17500</v>
      </c>
    </row>
    <row r="5" spans="1:7" s="7" customFormat="1" x14ac:dyDescent="0.25">
      <c r="A5" s="41"/>
      <c r="B5" s="43"/>
      <c r="C5" s="43"/>
      <c r="D5" s="43"/>
      <c r="E5" s="43"/>
      <c r="F5" s="43"/>
      <c r="G5" s="43"/>
    </row>
    <row r="6" spans="1:7" s="7" customFormat="1" x14ac:dyDescent="0.25">
      <c r="A6" s="41"/>
      <c r="B6" s="43"/>
      <c r="C6" s="43"/>
      <c r="D6" s="43"/>
      <c r="E6" s="43"/>
      <c r="F6" s="43"/>
      <c r="G6" s="43"/>
    </row>
    <row r="7" spans="1:7" s="7" customFormat="1" x14ac:dyDescent="0.25">
      <c r="A7" s="44" t="s">
        <v>40</v>
      </c>
      <c r="B7" s="128">
        <v>0</v>
      </c>
      <c r="C7" s="128">
        <v>0.01</v>
      </c>
      <c r="D7" s="128">
        <v>0.04</v>
      </c>
      <c r="E7" s="128">
        <v>0.06</v>
      </c>
      <c r="F7" s="128">
        <v>0.08</v>
      </c>
      <c r="G7" s="128">
        <v>0.12</v>
      </c>
    </row>
    <row r="8" spans="1:7" s="7" customFormat="1" x14ac:dyDescent="0.25">
      <c r="A8" s="46" t="s">
        <v>151</v>
      </c>
      <c r="B8" s="199">
        <f>SUM('Outpatient Activity'!C12)*B7</f>
        <v>0</v>
      </c>
      <c r="C8" s="199">
        <f>SUM('Outpatient Activity'!C12)*C7</f>
        <v>1050</v>
      </c>
      <c r="D8" s="199">
        <f>SUM('Outpatient Activity'!C12)*D7</f>
        <v>4200</v>
      </c>
      <c r="E8" s="199">
        <f>SUM('Outpatient Activity'!C12)*E7</f>
        <v>6300</v>
      </c>
      <c r="F8" s="199">
        <f>SUM('Outpatient Activity'!C12)*F7</f>
        <v>8400</v>
      </c>
      <c r="G8" s="199">
        <f>SUM('Outpatient Activity'!C12)*G7</f>
        <v>12600</v>
      </c>
    </row>
    <row r="9" spans="1:7" s="7" customFormat="1" x14ac:dyDescent="0.25">
      <c r="A9" s="47"/>
      <c r="B9" s="11"/>
      <c r="C9" s="11"/>
      <c r="D9" s="11"/>
      <c r="E9" s="11"/>
      <c r="F9" s="11"/>
      <c r="G9" s="11"/>
    </row>
    <row r="10" spans="1:7" s="7" customFormat="1" x14ac:dyDescent="0.25">
      <c r="A10" s="47"/>
      <c r="B10" s="43"/>
      <c r="C10" s="43"/>
      <c r="D10" s="43"/>
      <c r="E10" s="43"/>
      <c r="F10" s="43"/>
      <c r="G10" s="43"/>
    </row>
    <row r="11" spans="1:7" s="7" customFormat="1" ht="30" x14ac:dyDescent="0.25">
      <c r="A11" s="200" t="s">
        <v>82</v>
      </c>
      <c r="B11" s="201">
        <f>SUM(B4+B8)</f>
        <v>700</v>
      </c>
      <c r="C11" s="201">
        <f t="shared" ref="C11:G11" si="0">SUM(C4+C8)</f>
        <v>2800</v>
      </c>
      <c r="D11" s="201">
        <f t="shared" si="0"/>
        <v>7700</v>
      </c>
      <c r="E11" s="201">
        <f t="shared" si="0"/>
        <v>11550</v>
      </c>
      <c r="F11" s="201">
        <f t="shared" si="0"/>
        <v>20650</v>
      </c>
      <c r="G11" s="201">
        <f t="shared" si="0"/>
        <v>30100</v>
      </c>
    </row>
    <row r="12" spans="1:7" s="7" customFormat="1" x14ac:dyDescent="0.25">
      <c r="A12" s="47"/>
      <c r="B12" s="43"/>
      <c r="C12" s="43"/>
      <c r="D12" s="43"/>
      <c r="E12" s="43"/>
      <c r="F12" s="43"/>
      <c r="G12" s="43"/>
    </row>
    <row r="14" spans="1:7" x14ac:dyDescent="0.25">
      <c r="A14" s="92" t="s">
        <v>83</v>
      </c>
      <c r="B14" s="92"/>
      <c r="C14" s="92"/>
      <c r="D14" s="92"/>
      <c r="E14" s="92"/>
      <c r="F14" s="92"/>
      <c r="G14" s="92"/>
    </row>
    <row r="15" spans="1:7" x14ac:dyDescent="0.25">
      <c r="A15" s="92" t="s">
        <v>84</v>
      </c>
      <c r="B15" s="92"/>
      <c r="C15" s="92"/>
      <c r="D15" s="92"/>
      <c r="E15" s="92"/>
      <c r="F15" s="92"/>
      <c r="G15" s="92"/>
    </row>
    <row r="17" spans="1:1" x14ac:dyDescent="0.25">
      <c r="A17" s="92" t="s">
        <v>156</v>
      </c>
    </row>
  </sheetData>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HOW TO USE THIS SPREADSHEET</vt:lpstr>
      <vt:lpstr>SUMMARY Financial Analysis  </vt:lpstr>
      <vt:lpstr>cash savings summary</vt:lpstr>
      <vt:lpstr>Income generation summary</vt:lpstr>
      <vt:lpstr>non cash savings summary</vt:lpstr>
      <vt:lpstr>Capital costs </vt:lpstr>
      <vt:lpstr>Implementation costs</vt:lpstr>
      <vt:lpstr>Revenue costs</vt:lpstr>
      <vt:lpstr>No of users - Predicted</vt:lpstr>
      <vt:lpstr>Outpatient Activity</vt:lpstr>
      <vt:lpstr>'Capital costs '!Print_Area</vt:lpstr>
      <vt:lpstr>'cash savings summary'!Print_Area</vt:lpstr>
      <vt:lpstr>'Implementation costs'!Print_Area</vt:lpstr>
      <vt:lpstr>'Income generation summary'!Print_Area</vt:lpstr>
      <vt:lpstr>'No of users - Predicted'!Print_Area</vt:lpstr>
      <vt:lpstr>'non cash savings summary'!Print_Area</vt:lpstr>
      <vt:lpstr>'Outpatient Activity'!Print_Area</vt:lpstr>
      <vt:lpstr>'Revenue costs'!Print_Area</vt:lpstr>
      <vt:lpstr>'SUMMARY Financial Analysis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dc:creator>
  <cp:lastModifiedBy>Robert</cp:lastModifiedBy>
  <cp:lastPrinted>2016-05-05T09:15:09Z</cp:lastPrinted>
  <dcterms:created xsi:type="dcterms:W3CDTF">2013-12-13T14:46:14Z</dcterms:created>
  <dcterms:modified xsi:type="dcterms:W3CDTF">2016-11-07T14:47:31Z</dcterms:modified>
</cp:coreProperties>
</file>